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sh\Documents\Stock\"/>
    </mc:Choice>
  </mc:AlternateContent>
  <xr:revisionPtr revIDLastSave="0" documentId="13_ncr:1_{74CB0673-45D4-4FA0-8DAF-B0342A55FF40}" xr6:coauthVersionLast="47" xr6:coauthVersionMax="47" xr10:uidLastSave="{00000000-0000-0000-0000-000000000000}"/>
  <bookViews>
    <workbookView xWindow="-108" yWindow="-108" windowWidth="23256" windowHeight="12576" activeTab="3" xr2:uid="{48CA92C6-AA15-48F8-ADD0-2891C2F67668}"/>
  </bookViews>
  <sheets>
    <sheet name="SNAP" sheetId="1" r:id="rId1"/>
    <sheet name="SPY" sheetId="3" r:id="rId2"/>
    <sheet name="JAN" sheetId="4" r:id="rId3"/>
    <sheet name="Inf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" i="3" l="1"/>
  <c r="AF8" i="1"/>
  <c r="C9" i="4"/>
  <c r="D9" i="4"/>
  <c r="E9" i="4"/>
  <c r="F9" i="4"/>
  <c r="I9" i="4"/>
  <c r="N9" i="4" s="1"/>
  <c r="O9" i="4"/>
  <c r="S9" i="4"/>
  <c r="Y9" i="4"/>
  <c r="Z9" i="4" s="1"/>
  <c r="C10" i="4"/>
  <c r="D10" i="4"/>
  <c r="E10" i="4"/>
  <c r="F10" i="4"/>
  <c r="I10" i="4"/>
  <c r="L10" i="4" s="1"/>
  <c r="W10" i="4" s="1"/>
  <c r="X10" i="4" s="1"/>
  <c r="O10" i="4"/>
  <c r="S10" i="4"/>
  <c r="P10" i="4" s="1"/>
  <c r="Y10" i="4"/>
  <c r="Z10" i="4" s="1"/>
  <c r="C4" i="3"/>
  <c r="D4" i="3"/>
  <c r="E4" i="3"/>
  <c r="F4" i="3"/>
  <c r="I4" i="3"/>
  <c r="L4" i="3" s="1"/>
  <c r="W4" i="3" s="1"/>
  <c r="X4" i="3" s="1"/>
  <c r="O4" i="3"/>
  <c r="S4" i="3"/>
  <c r="P4" i="3" s="1"/>
  <c r="Y4" i="3"/>
  <c r="Z4" i="3" s="1"/>
  <c r="C5" i="3"/>
  <c r="D5" i="3"/>
  <c r="E5" i="3"/>
  <c r="F5" i="3"/>
  <c r="I5" i="3"/>
  <c r="L5" i="3" s="1"/>
  <c r="W5" i="3" s="1"/>
  <c r="X5" i="3" s="1"/>
  <c r="O5" i="3"/>
  <c r="S5" i="3"/>
  <c r="P5" i="3" s="1"/>
  <c r="Y5" i="3"/>
  <c r="Z5" i="3" s="1"/>
  <c r="C6" i="3"/>
  <c r="D6" i="3"/>
  <c r="E6" i="3"/>
  <c r="F6" i="3"/>
  <c r="I6" i="3"/>
  <c r="L6" i="3" s="1"/>
  <c r="W6" i="3" s="1"/>
  <c r="X6" i="3" s="1"/>
  <c r="O6" i="3"/>
  <c r="S6" i="3"/>
  <c r="Y6" i="3"/>
  <c r="Z6" i="3" s="1"/>
  <c r="C7" i="3"/>
  <c r="D7" i="3"/>
  <c r="E7" i="3"/>
  <c r="F7" i="3"/>
  <c r="I7" i="3"/>
  <c r="N7" i="3" s="1"/>
  <c r="O7" i="3"/>
  <c r="S7" i="3"/>
  <c r="Y7" i="3"/>
  <c r="Z7" i="3" s="1"/>
  <c r="C8" i="3"/>
  <c r="D8" i="3"/>
  <c r="E8" i="3"/>
  <c r="F8" i="3"/>
  <c r="I8" i="3"/>
  <c r="L8" i="3" s="1"/>
  <c r="W8" i="3" s="1"/>
  <c r="X8" i="3" s="1"/>
  <c r="O8" i="3"/>
  <c r="S8" i="3"/>
  <c r="Y8" i="3"/>
  <c r="Z8" i="3" s="1"/>
  <c r="C9" i="3"/>
  <c r="D9" i="3"/>
  <c r="E9" i="3"/>
  <c r="F9" i="3"/>
  <c r="I9" i="3"/>
  <c r="N9" i="3" s="1"/>
  <c r="O9" i="3"/>
  <c r="S9" i="3"/>
  <c r="Y9" i="3"/>
  <c r="Z9" i="3" s="1"/>
  <c r="C3" i="3"/>
  <c r="D3" i="3"/>
  <c r="E3" i="3"/>
  <c r="F3" i="3"/>
  <c r="I3" i="3"/>
  <c r="L3" i="3" s="1"/>
  <c r="W3" i="3" s="1"/>
  <c r="X3" i="3" s="1"/>
  <c r="O3" i="3"/>
  <c r="S3" i="3"/>
  <c r="P3" i="3" s="1"/>
  <c r="Y3" i="3"/>
  <c r="Z3" i="3" s="1"/>
  <c r="C8" i="4"/>
  <c r="D8" i="4"/>
  <c r="E8" i="4"/>
  <c r="F8" i="4"/>
  <c r="I8" i="4"/>
  <c r="L8" i="4" s="1"/>
  <c r="W8" i="4" s="1"/>
  <c r="X8" i="4" s="1"/>
  <c r="O8" i="4"/>
  <c r="S8" i="4"/>
  <c r="Y8" i="4"/>
  <c r="Z8" i="4" s="1"/>
  <c r="C6" i="4"/>
  <c r="D6" i="4"/>
  <c r="E6" i="4"/>
  <c r="F6" i="4"/>
  <c r="I6" i="4"/>
  <c r="N6" i="4" s="1"/>
  <c r="O6" i="4"/>
  <c r="S6" i="4"/>
  <c r="P6" i="4" s="1"/>
  <c r="Y6" i="4"/>
  <c r="Z6" i="4" s="1"/>
  <c r="C7" i="4"/>
  <c r="D7" i="4"/>
  <c r="E7" i="4"/>
  <c r="F7" i="4"/>
  <c r="I7" i="4"/>
  <c r="L7" i="4" s="1"/>
  <c r="W7" i="4" s="1"/>
  <c r="X7" i="4" s="1"/>
  <c r="O7" i="4"/>
  <c r="S7" i="4"/>
  <c r="Y7" i="4"/>
  <c r="Z7" i="4" s="1"/>
  <c r="P7" i="4" l="1"/>
  <c r="P9" i="4"/>
  <c r="AA9" i="4"/>
  <c r="R9" i="4"/>
  <c r="AA10" i="4"/>
  <c r="R10" i="4"/>
  <c r="Q9" i="4"/>
  <c r="Q10" i="4"/>
  <c r="M9" i="4"/>
  <c r="T9" i="4"/>
  <c r="L9" i="4"/>
  <c r="W9" i="4" s="1"/>
  <c r="X9" i="4" s="1"/>
  <c r="N10" i="4"/>
  <c r="M10" i="4"/>
  <c r="T10" i="4"/>
  <c r="Q8" i="4"/>
  <c r="P6" i="3"/>
  <c r="R4" i="3"/>
  <c r="Q5" i="3"/>
  <c r="R7" i="3"/>
  <c r="P8" i="4"/>
  <c r="P7" i="3"/>
  <c r="M8" i="3"/>
  <c r="P9" i="3"/>
  <c r="M9" i="3"/>
  <c r="M6" i="3"/>
  <c r="L9" i="3"/>
  <c r="W9" i="3" s="1"/>
  <c r="X9" i="3" s="1"/>
  <c r="AA7" i="3"/>
  <c r="AA5" i="3"/>
  <c r="AA4" i="3"/>
  <c r="Q3" i="3"/>
  <c r="AA6" i="3"/>
  <c r="Q6" i="3"/>
  <c r="R5" i="3"/>
  <c r="T9" i="3"/>
  <c r="M7" i="3"/>
  <c r="R6" i="3"/>
  <c r="R8" i="3"/>
  <c r="Q8" i="3"/>
  <c r="Q4" i="3"/>
  <c r="Q9" i="3"/>
  <c r="R9" i="3"/>
  <c r="P8" i="3"/>
  <c r="Q7" i="3"/>
  <c r="AA8" i="3"/>
  <c r="N4" i="3"/>
  <c r="T7" i="3"/>
  <c r="L7" i="3"/>
  <c r="W7" i="3" s="1"/>
  <c r="X7" i="3" s="1"/>
  <c r="M4" i="3"/>
  <c r="N6" i="3"/>
  <c r="T4" i="3"/>
  <c r="N8" i="3"/>
  <c r="T6" i="3"/>
  <c r="N5" i="3"/>
  <c r="AA9" i="3"/>
  <c r="T8" i="3"/>
  <c r="M5" i="3"/>
  <c r="T5" i="3"/>
  <c r="R3" i="3"/>
  <c r="AA3" i="3"/>
  <c r="N3" i="3"/>
  <c r="M3" i="3"/>
  <c r="T3" i="3"/>
  <c r="N8" i="4"/>
  <c r="M8" i="4"/>
  <c r="AA8" i="4"/>
  <c r="R8" i="4"/>
  <c r="T8" i="4"/>
  <c r="AA7" i="4"/>
  <c r="AA6" i="4"/>
  <c r="Q6" i="4"/>
  <c r="R7" i="4"/>
  <c r="R6" i="4"/>
  <c r="Q7" i="4"/>
  <c r="L6" i="4"/>
  <c r="W6" i="4" s="1"/>
  <c r="M6" i="4"/>
  <c r="T6" i="4"/>
  <c r="N7" i="4"/>
  <c r="M7" i="4"/>
  <c r="T7" i="4"/>
  <c r="X6" i="4" l="1"/>
  <c r="O3" i="1" l="1"/>
  <c r="O4" i="1"/>
  <c r="O5" i="1"/>
  <c r="O6" i="1"/>
  <c r="O7" i="1"/>
  <c r="O2" i="1"/>
  <c r="O2" i="3"/>
  <c r="O3" i="4"/>
  <c r="O4" i="4"/>
  <c r="O5" i="4"/>
  <c r="O2" i="4"/>
  <c r="Y3" i="4"/>
  <c r="Z3" i="4" s="1"/>
  <c r="Y4" i="4"/>
  <c r="Z4" i="4" s="1"/>
  <c r="Y5" i="4"/>
  <c r="Z5" i="4" s="1"/>
  <c r="Y2" i="4"/>
  <c r="Z2" i="4" s="1"/>
  <c r="Y2" i="3"/>
  <c r="Z2" i="3" s="1"/>
  <c r="Y3" i="1"/>
  <c r="Z3" i="1" s="1"/>
  <c r="Y4" i="1"/>
  <c r="Z4" i="1" s="1"/>
  <c r="Y5" i="1"/>
  <c r="Z5" i="1" s="1"/>
  <c r="Y6" i="1"/>
  <c r="Z6" i="1" s="1"/>
  <c r="Y7" i="1"/>
  <c r="Z7" i="1" s="1"/>
  <c r="Y2" i="1"/>
  <c r="Z2" i="1" s="1"/>
  <c r="AD5" i="3" l="1"/>
  <c r="S5" i="4"/>
  <c r="I5" i="4"/>
  <c r="M5" i="4" s="1"/>
  <c r="F5" i="4"/>
  <c r="E5" i="4"/>
  <c r="D5" i="4"/>
  <c r="C5" i="4"/>
  <c r="S4" i="4"/>
  <c r="I4" i="4"/>
  <c r="M4" i="4" s="1"/>
  <c r="F4" i="4"/>
  <c r="E4" i="4"/>
  <c r="D4" i="4"/>
  <c r="C4" i="4"/>
  <c r="S3" i="4"/>
  <c r="I3" i="4"/>
  <c r="M3" i="4" s="1"/>
  <c r="F3" i="4"/>
  <c r="E3" i="4"/>
  <c r="D3" i="4"/>
  <c r="C3" i="4"/>
  <c r="AA3" i="4" s="1"/>
  <c r="S2" i="4"/>
  <c r="I2" i="4"/>
  <c r="M2" i="4" s="1"/>
  <c r="F2" i="4"/>
  <c r="E2" i="4"/>
  <c r="D2" i="4"/>
  <c r="C2" i="4"/>
  <c r="AA2" i="4" l="1"/>
  <c r="AA5" i="4"/>
  <c r="AA4" i="4"/>
  <c r="L5" i="4"/>
  <c r="T3" i="4"/>
  <c r="Q4" i="4"/>
  <c r="T5" i="4"/>
  <c r="L4" i="4"/>
  <c r="T4" i="4"/>
  <c r="R3" i="4"/>
  <c r="L3" i="4"/>
  <c r="R2" i="4"/>
  <c r="N2" i="4"/>
  <c r="R4" i="4"/>
  <c r="Q5" i="4"/>
  <c r="Q2" i="4"/>
  <c r="R5" i="4"/>
  <c r="Q3" i="4"/>
  <c r="P2" i="4"/>
  <c r="P3" i="4"/>
  <c r="P4" i="4"/>
  <c r="P5" i="4"/>
  <c r="N3" i="4"/>
  <c r="N4" i="4"/>
  <c r="N5" i="4"/>
  <c r="L2" i="4"/>
  <c r="W2" i="4" s="1"/>
  <c r="T2" i="4"/>
  <c r="X2" i="4" l="1"/>
  <c r="W5" i="4"/>
  <c r="X5" i="4" s="1"/>
  <c r="W3" i="4"/>
  <c r="X3" i="4" s="1"/>
  <c r="W4" i="4"/>
  <c r="X4" i="4" s="1"/>
  <c r="AH2" i="4" l="1"/>
  <c r="AI2" i="4"/>
  <c r="AE2" i="4"/>
  <c r="AC2" i="4"/>
  <c r="AK2" i="4"/>
  <c r="AD2" i="4"/>
  <c r="AL2" i="4"/>
  <c r="AG2" i="4"/>
  <c r="AJ2" i="4"/>
  <c r="AM2" i="4" l="1"/>
  <c r="AF2" i="4"/>
  <c r="S2" i="3" l="1"/>
  <c r="I2" i="3"/>
  <c r="T2" i="3" s="1"/>
  <c r="F2" i="3"/>
  <c r="E2" i="3"/>
  <c r="D2" i="3"/>
  <c r="C2" i="3"/>
  <c r="AA2" i="3" s="1"/>
  <c r="W2" i="1"/>
  <c r="W3" i="1"/>
  <c r="X3" i="1" s="1"/>
  <c r="W4" i="1"/>
  <c r="X4" i="1" s="1"/>
  <c r="W5" i="1"/>
  <c r="X5" i="1" s="1"/>
  <c r="W6" i="1"/>
  <c r="X6" i="1" s="1"/>
  <c r="S7" i="1"/>
  <c r="I7" i="1"/>
  <c r="T7" i="1" s="1"/>
  <c r="F7" i="1"/>
  <c r="E7" i="1"/>
  <c r="D7" i="1"/>
  <c r="C7" i="1"/>
  <c r="AA7" i="1" s="1"/>
  <c r="S6" i="1"/>
  <c r="I6" i="1"/>
  <c r="N6" i="1" s="1"/>
  <c r="F6" i="1"/>
  <c r="E6" i="1"/>
  <c r="D6" i="1"/>
  <c r="C6" i="1"/>
  <c r="AA6" i="1" s="1"/>
  <c r="AD5" i="1"/>
  <c r="S5" i="1"/>
  <c r="I5" i="1"/>
  <c r="N5" i="1" s="1"/>
  <c r="F5" i="1"/>
  <c r="E5" i="1"/>
  <c r="D5" i="1"/>
  <c r="C5" i="1"/>
  <c r="AA5" i="1" s="1"/>
  <c r="S4" i="1"/>
  <c r="I4" i="1"/>
  <c r="N4" i="1" s="1"/>
  <c r="F4" i="1"/>
  <c r="E4" i="1"/>
  <c r="D4" i="1"/>
  <c r="C4" i="1"/>
  <c r="AA4" i="1" s="1"/>
  <c r="S3" i="1"/>
  <c r="I3" i="1"/>
  <c r="M3" i="1" s="1"/>
  <c r="F3" i="1"/>
  <c r="E3" i="1"/>
  <c r="D3" i="1"/>
  <c r="C3" i="1"/>
  <c r="AA3" i="1" s="1"/>
  <c r="S2" i="1"/>
  <c r="I2" i="1"/>
  <c r="N2" i="1" s="1"/>
  <c r="F2" i="1"/>
  <c r="E2" i="1"/>
  <c r="D2" i="1"/>
  <c r="C2" i="1"/>
  <c r="P3" i="1" l="1"/>
  <c r="M2" i="3"/>
  <c r="P2" i="3" s="1"/>
  <c r="R2" i="3"/>
  <c r="Q2" i="3"/>
  <c r="N2" i="3"/>
  <c r="L2" i="3"/>
  <c r="W2" i="3" s="1"/>
  <c r="AD8" i="3" s="1"/>
  <c r="L6" i="1"/>
  <c r="L5" i="1"/>
  <c r="L4" i="1"/>
  <c r="L3" i="1"/>
  <c r="L2" i="1"/>
  <c r="L7" i="1"/>
  <c r="W7" i="1" s="1"/>
  <c r="X7" i="1" s="1"/>
  <c r="X2" i="1"/>
  <c r="N3" i="1"/>
  <c r="Q6" i="1"/>
  <c r="R4" i="1"/>
  <c r="R5" i="1"/>
  <c r="R7" i="1"/>
  <c r="Q4" i="1"/>
  <c r="Q5" i="1"/>
  <c r="Q7" i="1"/>
  <c r="Q2" i="1"/>
  <c r="Q3" i="1"/>
  <c r="R2" i="1"/>
  <c r="R3" i="1"/>
  <c r="R6" i="1"/>
  <c r="T2" i="1"/>
  <c r="T5" i="1"/>
  <c r="T6" i="1"/>
  <c r="M7" i="1"/>
  <c r="P7" i="1" s="1"/>
  <c r="M2" i="1"/>
  <c r="T4" i="1"/>
  <c r="M5" i="1"/>
  <c r="P5" i="1" s="1"/>
  <c r="M6" i="1"/>
  <c r="P6" i="1" s="1"/>
  <c r="N7" i="1"/>
  <c r="T3" i="1"/>
  <c r="M4" i="1"/>
  <c r="P4" i="1" s="1"/>
  <c r="AD8" i="1" l="1"/>
  <c r="X2" i="3"/>
  <c r="AJ2" i="3" s="1"/>
  <c r="AD2" i="3"/>
  <c r="AL2" i="3"/>
  <c r="AC2" i="3"/>
  <c r="AK2" i="3"/>
  <c r="AI2" i="3"/>
  <c r="AH2" i="3"/>
  <c r="AE2" i="3"/>
  <c r="AG2" i="3"/>
  <c r="P2" i="1"/>
  <c r="AA2" i="1"/>
  <c r="AE2" i="1"/>
  <c r="AK2" i="1"/>
  <c r="AH2" i="1"/>
  <c r="AG2" i="1"/>
  <c r="AI2" i="1"/>
  <c r="AC2" i="1"/>
  <c r="AL2" i="1"/>
  <c r="AD2" i="1"/>
  <c r="AJ2" i="1"/>
  <c r="AF2" i="3" l="1"/>
  <c r="AM2" i="3"/>
  <c r="AM2" i="1"/>
  <c r="AF2" i="1"/>
</calcChain>
</file>

<file path=xl/sharedStrings.xml><?xml version="1.0" encoding="utf-8"?>
<sst xmlns="http://schemas.openxmlformats.org/spreadsheetml/2006/main" count="198" uniqueCount="79">
  <si>
    <t>Symbol</t>
  </si>
  <si>
    <t>LAST</t>
  </si>
  <si>
    <t>52High</t>
  </si>
  <si>
    <t>52Low</t>
  </si>
  <si>
    <t>Yield</t>
  </si>
  <si>
    <t>Contracts</t>
  </si>
  <si>
    <t>Strike</t>
  </si>
  <si>
    <t>Expiration</t>
  </si>
  <si>
    <t>Bid</t>
  </si>
  <si>
    <t>Ask</t>
  </si>
  <si>
    <t xml:space="preserve">% From </t>
  </si>
  <si>
    <t>% From</t>
  </si>
  <si>
    <t>DTE</t>
  </si>
  <si>
    <t>Delta</t>
  </si>
  <si>
    <t>STO</t>
  </si>
  <si>
    <t>BTC</t>
  </si>
  <si>
    <t>P/L</t>
  </si>
  <si>
    <t>P/L%</t>
  </si>
  <si>
    <t>Losers</t>
  </si>
  <si>
    <t>Winners</t>
  </si>
  <si>
    <t>Win %</t>
  </si>
  <si>
    <t>Avg Loss</t>
  </si>
  <si>
    <t>Avg Win</t>
  </si>
  <si>
    <t>Avg P/L %</t>
  </si>
  <si>
    <t>Profit Factor</t>
  </si>
  <si>
    <t>SNAP</t>
  </si>
  <si>
    <t>P</t>
  </si>
  <si>
    <t>Entry</t>
  </si>
  <si>
    <t xml:space="preserve">A profit factor of 1.2 means for every 1 dollar lost we make 1.2. </t>
  </si>
  <si>
    <t xml:space="preserve">If Profit Factor is &lt;1 we are losing money. </t>
  </si>
  <si>
    <t xml:space="preserve">The far right side is the Strategy Performance Report. </t>
  </si>
  <si>
    <t>Mid</t>
  </si>
  <si>
    <t>Trades</t>
  </si>
  <si>
    <t>Total Profit</t>
  </si>
  <si>
    <t>Total Loss</t>
  </si>
  <si>
    <t>Trade
 Date</t>
  </si>
  <si>
    <t>Put
/Call</t>
  </si>
  <si>
    <t>Trade
Date</t>
  </si>
  <si>
    <t>CashReq.</t>
  </si>
  <si>
    <t>https://discord.com/invite/SX4EbWMp5r</t>
  </si>
  <si>
    <t>Discord:</t>
  </si>
  <si>
    <t>Youtube:</t>
  </si>
  <si>
    <t>DSP</t>
  </si>
  <si>
    <t>https://www.youtube.com/watch?v=mMhuVkfSEtI</t>
  </si>
  <si>
    <t>TOS must be open and running for data to stream into Excel.</t>
  </si>
  <si>
    <t>Symbol and Put/Call columns must be UPPERCASE</t>
  </si>
  <si>
    <t>B-E</t>
  </si>
  <si>
    <t>Break-Even</t>
  </si>
  <si>
    <t>Break-Even(column Z) is for each individual trade.</t>
  </si>
  <si>
    <t xml:space="preserve">The Entry and B-E cells are a work in progress. It will not calculate Stock capital gain/loss. </t>
  </si>
  <si>
    <t>NCLH</t>
  </si>
  <si>
    <t>APA</t>
  </si>
  <si>
    <t>RBLX</t>
  </si>
  <si>
    <t>AMC</t>
  </si>
  <si>
    <t>ROC%</t>
  </si>
  <si>
    <t>AR%</t>
  </si>
  <si>
    <t>CRWD</t>
  </si>
  <si>
    <t>DPZ</t>
  </si>
  <si>
    <r>
      <t>Only edit cells marked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</si>
  <si>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Symbol, Trade Date, Expiration, Contracts, Strike, STO </t>
    </r>
    <r>
      <rPr>
        <sz val="11"/>
        <color theme="1"/>
        <rFont val="Calibri"/>
        <family val="2"/>
        <scheme val="minor"/>
      </rPr>
      <t>(Sell to Open),</t>
    </r>
    <r>
      <rPr>
        <b/>
        <sz val="11"/>
        <color theme="1"/>
        <rFont val="Calibri"/>
        <family val="2"/>
        <scheme val="minor"/>
      </rPr>
      <t xml:space="preserve"> BTC </t>
    </r>
    <r>
      <rPr>
        <sz val="11"/>
        <color theme="1"/>
        <rFont val="Calibri"/>
        <family val="2"/>
        <scheme val="minor"/>
      </rPr>
      <t>(Buy to Close).</t>
    </r>
  </si>
  <si>
    <t>SPY</t>
  </si>
  <si>
    <t>ETSY</t>
  </si>
  <si>
    <t>Expiration Date Format must be 1/7/2022 format</t>
  </si>
  <si>
    <t>SNAP and SPY  sheets can be used to log trades per stock to track cost basis of CSP. You can create new sheet for each stock.</t>
  </si>
  <si>
    <t xml:space="preserve">JAN Sheet can be used to track all trades for the month. </t>
  </si>
  <si>
    <r>
      <rPr>
        <b/>
        <sz val="11"/>
        <rFont val="Calibri"/>
        <family val="2"/>
        <scheme val="minor"/>
      </rPr>
      <t>Entry</t>
    </r>
    <r>
      <rPr>
        <sz val="11"/>
        <rFont val="Calibri"/>
        <family val="2"/>
        <scheme val="minor"/>
      </rPr>
      <t xml:space="preserve"> =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Potential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assigned strike price</t>
    </r>
  </si>
  <si>
    <r>
      <rPr>
        <b/>
        <sz val="11"/>
        <rFont val="Calibri"/>
        <family val="2"/>
        <scheme val="minor"/>
      </rPr>
      <t xml:space="preserve">Contract </t>
    </r>
    <r>
      <rPr>
        <sz val="11"/>
        <rFont val="Calibri"/>
        <family val="2"/>
        <scheme val="minor"/>
      </rPr>
      <t xml:space="preserve">size must be equal for each trade for the </t>
    </r>
    <r>
      <rPr>
        <b/>
        <sz val="11"/>
        <rFont val="Calibri"/>
        <family val="2"/>
        <scheme val="minor"/>
      </rPr>
      <t>B-E</t>
    </r>
    <r>
      <rPr>
        <sz val="11"/>
        <rFont val="Calibri"/>
        <family val="2"/>
        <scheme val="minor"/>
      </rPr>
      <t xml:space="preserve"> to calcuate correctly</t>
    </r>
  </si>
  <si>
    <r>
      <t xml:space="preserve">The B-E takes the total P/L from all premium sold and subtracts from </t>
    </r>
    <r>
      <rPr>
        <sz val="11"/>
        <rFont val="Calibri"/>
        <family val="2"/>
        <scheme val="minor"/>
      </rPr>
      <t>Entry</t>
    </r>
    <r>
      <rPr>
        <sz val="11"/>
        <color theme="1"/>
        <rFont val="Calibri"/>
        <family val="2"/>
        <scheme val="minor"/>
      </rPr>
      <t xml:space="preserve">. </t>
    </r>
  </si>
  <si>
    <r>
      <t>Cell AD5 (</t>
    </r>
    <r>
      <rPr>
        <b/>
        <sz val="11"/>
        <color theme="1"/>
        <rFont val="Calibri"/>
        <family val="2"/>
        <scheme val="minor"/>
      </rPr>
      <t>B-E)</t>
    </r>
    <r>
      <rPr>
        <sz val="11"/>
        <color theme="1"/>
        <rFont val="Calibri"/>
        <family val="2"/>
        <scheme val="minor"/>
      </rPr>
      <t xml:space="preserve"> Also Break-Even takes the total P/L from all premium sold and subtracts from Entry.</t>
    </r>
  </si>
  <si>
    <t>CHWY</t>
  </si>
  <si>
    <t>ARKK</t>
  </si>
  <si>
    <t>Multiplier</t>
  </si>
  <si>
    <t>Shares</t>
  </si>
  <si>
    <t>Create new sheet for each stock for tracking B-E</t>
  </si>
  <si>
    <r>
      <rPr>
        <b/>
        <sz val="11"/>
        <color theme="1"/>
        <rFont val="Calibri"/>
        <family val="2"/>
        <scheme val="minor"/>
      </rPr>
      <t>Profit facto</t>
    </r>
    <r>
      <rPr>
        <sz val="11"/>
        <color theme="1"/>
        <rFont val="Calibri"/>
        <family val="2"/>
        <scheme val="minor"/>
      </rPr>
      <t xml:space="preserve">r is dollars earned for every dollar lost. </t>
    </r>
  </si>
  <si>
    <r>
      <rPr>
        <b/>
        <sz val="11"/>
        <color theme="1"/>
        <rFont val="Calibri"/>
        <family val="2"/>
        <scheme val="minor"/>
      </rPr>
      <t>DSP</t>
    </r>
    <r>
      <rPr>
        <sz val="11"/>
        <color theme="1"/>
        <rFont val="Calibri"/>
        <family val="2"/>
        <scheme val="minor"/>
      </rPr>
      <t xml:space="preserve"> is down side protection.  This is the % from strike to break-even.  </t>
    </r>
  </si>
  <si>
    <r>
      <t xml:space="preserve">Currently only working for Puts. </t>
    </r>
    <r>
      <rPr>
        <sz val="11"/>
        <rFont val="Calibri"/>
        <family val="2"/>
        <scheme val="minor"/>
      </rPr>
      <t>Calls will be working soon.</t>
    </r>
  </si>
  <si>
    <t>https://options-guru.com/tos-excel-trade-log/</t>
  </si>
  <si>
    <t>Finle download 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</si>
</sst>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0;[Red]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454545"/>
      <name val="Courier New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141F"/>
      <name val="PT Sans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6" fillId="2" borderId="0" xfId="2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10" fontId="6" fillId="2" borderId="0" xfId="2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9" fillId="0" borderId="0" xfId="0" applyFont="1"/>
    <xf numFmtId="44" fontId="0" fillId="2" borderId="0" xfId="1" applyFont="1" applyFill="1" applyBorder="1" applyAlignment="1">
      <alignment horizontal="center"/>
    </xf>
    <xf numFmtId="165" fontId="0" fillId="0" borderId="0" xfId="0" applyNumberFormat="1"/>
    <xf numFmtId="0" fontId="10" fillId="0" borderId="0" xfId="3"/>
    <xf numFmtId="0" fontId="2" fillId="0" borderId="0" xfId="0" applyFont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/>
    <xf numFmtId="44" fontId="3" fillId="2" borderId="0" xfId="1" applyFont="1" applyFill="1" applyBorder="1" applyAlignment="1">
      <alignment horizontal="center"/>
    </xf>
    <xf numFmtId="44" fontId="12" fillId="2" borderId="0" xfId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8" fillId="3" borderId="0" xfId="0" applyFont="1" applyFill="1" applyAlignment="1">
      <alignment horizontal="center"/>
    </xf>
    <xf numFmtId="16" fontId="8" fillId="3" borderId="0" xfId="0" applyNumberFormat="1" applyFont="1" applyFill="1" applyAlignment="1">
      <alignment horizontal="center"/>
    </xf>
    <xf numFmtId="0" fontId="0" fillId="3" borderId="0" xfId="0" applyFill="1"/>
    <xf numFmtId="1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3" borderId="0" xfId="0" applyFont="1" applyFill="1"/>
    <xf numFmtId="0" fontId="8" fillId="0" borderId="0" xfId="0" applyFont="1"/>
    <xf numFmtId="44" fontId="0" fillId="3" borderId="0" xfId="1" applyFont="1" applyFill="1" applyBorder="1" applyAlignment="1">
      <alignment horizontal="center"/>
    </xf>
    <xf numFmtId="0" fontId="4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3">
    <dxf>
      <font>
        <color rgb="FFFF0000"/>
      </font>
    </dxf>
    <dxf>
      <font>
        <color rgb="FFFF0000"/>
      </font>
    </dxf>
    <dxf>
      <font>
        <color rgb="FFC0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C0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C0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tos.rtd">
      <tp t="s">
        <v>N/A</v>
        <stp/>
        <stp>YIELD</stp>
        <stp>SNAP</stp>
        <tr r="F3" s="1"/>
        <tr r="F7" s="1"/>
        <tr r="F6" s="1"/>
        <tr r="F2" s="1"/>
        <tr r="F5" s="1"/>
        <tr r="F4" s="1"/>
      </tp>
      <tp>
        <v>42.96</v>
        <stp/>
        <stp>52LOW</stp>
        <stp>SNAP</stp>
        <tr r="E3" s="1"/>
        <tr r="E7" s="1"/>
        <tr r="E2" s="1"/>
        <tr r="E5" s="1"/>
        <tr r="E4" s="1"/>
        <tr r="E6" s="1"/>
      </tp>
      <tp>
        <v>-0.35</v>
        <stp/>
        <stp>DELTA</stp>
        <stp>.DPZ220107P530</stp>
        <tr r="T7" s="4"/>
      </tp>
      <tp>
        <v>-0.01</v>
        <stp/>
        <stp>DELTA</stp>
        <stp>.SPY211227P470</stp>
        <tr r="T7" s="3"/>
      </tp>
      <tp>
        <v>-0.44</v>
        <stp/>
        <stp>DELTA</stp>
        <stp>.SPY211223P475</stp>
        <tr r="T6" s="3"/>
      </tp>
      <tp>
        <v>-0.27</v>
        <stp/>
        <stp>DELTA</stp>
        <stp>.SPY211222P470</stp>
        <tr r="T4" s="3"/>
      </tp>
      <tp>
        <v>-0.01</v>
        <stp/>
        <stp>DELTA</stp>
        <stp>.SPY211229P470</stp>
        <tr r="T8" s="3"/>
      </tp>
      <tp>
        <v>-0.25</v>
        <stp/>
        <stp>DELTA</stp>
        <stp>.SPY211220P460</stp>
        <tr r="T3" s="3"/>
      </tp>
      <tp>
        <v>0</v>
        <stp/>
        <stp>DELTA</stp>
        <stp>.SPY211223P460</stp>
        <tr r="T5" s="3"/>
      </tp>
      <tp>
        <v>-0.01</v>
        <stp/>
        <stp>DELTA</stp>
        <stp>.SPY211231P472</stp>
        <tr r="T9" s="3"/>
      </tp>
      <tp>
        <v>-0.02</v>
        <stp/>
        <stp>DELTA</stp>
        <stp>.SPY211217P460</stp>
        <tr r="T2" s="3"/>
      </tp>
      <tp>
        <v>50.05</v>
        <stp/>
        <stp>52LOW</stp>
        <stp>CHWY</stp>
        <tr r="E9" s="4"/>
      </tp>
      <tp>
        <v>477.55</v>
        <stp/>
        <stp>LAST</stp>
        <stp>SPY</stp>
        <tr r="C6" s="3"/>
        <tr r="C2" s="3"/>
        <tr r="C8" s="3"/>
        <tr r="C3" s="3"/>
        <tr r="C9" s="3"/>
        <tr r="C5" s="3"/>
        <tr r="C4" s="3"/>
        <tr r="C7" s="3"/>
      </tp>
      <tp>
        <v>3.55</v>
        <stp/>
        <stp>MARK</stp>
        <stp>.DPZ220107P530</stp>
        <tr r="L7" s="4"/>
      </tp>
      <tp>
        <v>1.66</v>
        <stp/>
        <stp>ASK</stp>
        <stp>.CRWD220107P182.5</stp>
        <tr r="N6" s="4"/>
      </tp>
      <tp>
        <v>7.4999999999999997E-2</v>
        <stp/>
        <stp>MARK</stp>
        <stp>.SPY211217P460</stp>
        <tr r="L2" s="3"/>
      </tp>
      <tp>
        <v>3.93</v>
        <stp/>
        <stp>MARK</stp>
        <stp>.SPY211220P460</stp>
        <tr r="L3" s="3"/>
      </tp>
      <tp>
        <v>5.0000000000000001E-3</v>
        <stp/>
        <stp>MARK</stp>
        <stp>.SPY211223P460</stp>
        <tr r="L5" s="3"/>
      </tp>
      <tp>
        <v>5.0000000000000001E-3</v>
        <stp/>
        <stp>MARK</stp>
        <stp>.SPY211231P472</stp>
        <tr r="L9" s="3"/>
      </tp>
      <tp>
        <v>5.0000000000000001E-3</v>
        <stp/>
        <stp>MARK</stp>
        <stp>.SPY211229P470</stp>
        <tr r="L8" s="3"/>
      </tp>
      <tp>
        <v>1.835</v>
        <stp/>
        <stp>MARK</stp>
        <stp>.SPY211222P470</stp>
        <tr r="L4" s="3"/>
      </tp>
      <tp>
        <v>5.0000000000000001E-3</v>
        <stp/>
        <stp>MARK</stp>
        <stp>.SPY211227P470</stp>
        <tr r="L7" s="3"/>
      </tp>
      <tp>
        <v>4.2300000000000004</v>
        <stp/>
        <stp>MARK</stp>
        <stp>.SPY211223P475</stp>
        <tr r="L6" s="3"/>
      </tp>
      <tp t="s">
        <v>N/A</v>
        <stp/>
        <stp>YIELD</stp>
        <stp>CHWY</stp>
        <tr r="F9" s="4"/>
      </tp>
      <tp>
        <v>1.36</v>
        <stp/>
        <stp>BID</stp>
        <stp>.CRWD220107P182.5</stp>
        <tr r="M6" s="4"/>
      </tp>
      <tp>
        <v>72.62</v>
        <stp/>
        <stp>52HIGH</stp>
        <stp>AMC</stp>
        <tr r="D5" s="4"/>
      </tp>
      <tp>
        <v>31.14</v>
        <stp/>
        <stp>52HIGH</stp>
        <stp>APA</stp>
        <tr r="D3" s="4"/>
      </tp>
      <tp t="s">
        <v>N/A</v>
        <stp/>
        <stp>YIELD</stp>
        <stp>NCLH</stp>
        <tr r="F2" s="4"/>
      </tp>
      <tp>
        <v>567.57000000000005</v>
        <stp/>
        <stp>52HIGH</stp>
        <stp>DPZ</stp>
        <tr r="D7" s="4"/>
      </tp>
      <tp t="s">
        <v>N/A</v>
        <stp/>
        <stp>YIELD</stp>
        <stp>RBLX</stp>
        <tr r="F4" s="4"/>
      </tp>
      <tp>
        <v>60.5</v>
        <stp/>
        <stp>52LOW</stp>
        <stp>RBLX</stp>
        <tr r="E4" s="4"/>
      </tp>
      <tp>
        <v>17.78</v>
        <stp/>
        <stp>52LOW</stp>
        <stp>NCLH</stp>
        <tr r="E2" s="4"/>
      </tp>
      <tp>
        <v>-0.47</v>
        <stp/>
        <stp>DELTA</stp>
        <stp>.ETSY220107P200</stp>
        <tr r="T8" s="4"/>
      </tp>
      <tp>
        <v>535.28</v>
        <stp/>
        <stp>LAST</stp>
        <stp>DPZ</stp>
        <tr r="C7" s="4"/>
      </tp>
      <tp>
        <v>0.18</v>
        <stp/>
        <stp>BID</stp>
        <stp>.ARKK220107P85.22</stp>
        <tr r="M10" s="4"/>
      </tp>
      <tp>
        <v>29.46</v>
        <stp/>
        <stp>LAST</stp>
        <stp>APA</stp>
        <tr r="C3" s="4"/>
      </tp>
      <tp>
        <v>25.49</v>
        <stp/>
        <stp>LAST</stp>
        <stp>AMC</stp>
        <tr r="C5" s="4"/>
      </tp>
      <tp>
        <v>153.80000000000001</v>
        <stp/>
        <stp>52LOW</stp>
        <stp>ETSY</stp>
        <tr r="E8" s="4"/>
      </tp>
      <tp>
        <v>479</v>
        <stp/>
        <stp>52HIGH</stp>
        <stp>SPY</stp>
        <tr r="D9" s="3"/>
        <tr r="D2" s="3"/>
        <tr r="D3" s="3"/>
        <tr r="D8" s="3"/>
        <tr r="D7" s="3"/>
        <tr r="D6" s="3"/>
        <tr r="D5" s="3"/>
        <tr r="D4" s="3"/>
      </tp>
      <tp>
        <v>0.22</v>
        <stp/>
        <stp>ASK</stp>
        <stp>.ARKK220107P85.22</stp>
        <tr r="N10" s="4"/>
      </tp>
      <tp t="s">
        <v>N/A</v>
        <stp/>
        <stp>YIELD</stp>
        <stp>ETSY</stp>
        <tr r="F8" s="4"/>
      </tp>
      <tp t="s">
        <v>0.10%</v>
        <stp/>
        <stp>YIELD</stp>
        <stp>ARKK</stp>
        <tr r="F10" s="4"/>
      </tp>
      <tp t="s">
        <v>N/A</v>
        <stp/>
        <stp>YIELD</stp>
        <stp>CRWD</stp>
        <tr r="F6" s="4"/>
      </tp>
      <tp>
        <v>168.67</v>
        <stp/>
        <stp>52LOW</stp>
        <stp>CRWD</stp>
        <tr r="E6" s="4"/>
      </tp>
      <tp>
        <v>89.03</v>
        <stp/>
        <stp>52LOW</stp>
        <stp>ARKK</stp>
        <tr r="E10" s="4"/>
      </tp>
      <tp>
        <v>319.70999999999998</v>
        <stp/>
        <stp>52LOW</stp>
        <stp>DPZ</stp>
        <tr r="E7" s="4"/>
      </tp>
      <tp>
        <v>120</v>
        <stp/>
        <stp>52HIGH</stp>
        <stp>CHWY</stp>
        <tr r="D9" s="4"/>
      </tp>
      <tp>
        <v>3.8</v>
        <stp/>
        <stp>MARK</stp>
        <stp>.ETSY220107P200</stp>
        <tr r="L8" s="4"/>
      </tp>
      <tp>
        <v>1.91</v>
        <stp/>
        <stp>52LOW</stp>
        <stp>AMC</stp>
        <tr r="E5" s="4"/>
      </tp>
      <tp>
        <v>14.03</v>
        <stp/>
        <stp>52LOW</stp>
        <stp>APA</stp>
        <tr r="E3" s="4"/>
      </tp>
      <tp>
        <v>1.48</v>
        <stp/>
        <stp>ASK</stp>
        <stp>.RBLX220107P92</stp>
        <tr r="N4" s="4"/>
      </tp>
      <tp>
        <v>1.37</v>
        <stp/>
        <stp>BID</stp>
        <stp>.RBLX220107P92</stp>
        <tr r="M4" s="4"/>
      </tp>
      <tp>
        <v>83.34</v>
        <stp/>
        <stp>52HIGH</stp>
        <stp>SNAP</stp>
        <tr r="D7" s="1"/>
        <tr r="D2" s="1"/>
        <tr r="D6" s="1"/>
        <tr r="D5" s="1"/>
        <tr r="D4" s="1"/>
        <tr r="D3" s="1"/>
      </tp>
      <tp>
        <v>0.02</v>
        <stp/>
        <stp>ASK</stp>
        <stp>.NCLH220107P18</stp>
        <tr r="N2" s="4"/>
      </tp>
      <tp>
        <v>0.01</v>
        <stp/>
        <stp>BID</stp>
        <stp>.NCLH220107P18</stp>
        <tr r="M2" s="4"/>
      </tp>
      <tp>
        <v>189.19</v>
        <stp/>
        <stp>LAST</stp>
        <stp>CRWD</stp>
        <tr r="C6" s="4"/>
      </tp>
      <tp>
        <v>92.69</v>
        <stp/>
        <stp>LAST</stp>
        <stp>ARKK</stp>
        <tr r="C10" s="4"/>
      </tp>
      <tp t="s">
        <v>0.70%</v>
        <stp/>
        <stp>YIELD</stp>
        <stp>DPZ</stp>
        <tr r="F7" s="4"/>
      </tp>
      <tp>
        <v>3.2</v>
        <stp/>
        <stp>ASK</stp>
        <stp>.SNAP220107P47</stp>
        <tr r="N7" s="1"/>
      </tp>
      <tp>
        <v>34.484999999999999</v>
        <stp/>
        <stp>52HIGH</stp>
        <stp>NCLH</stp>
        <tr r="D2" s="4"/>
      </tp>
      <tp>
        <v>2.94</v>
        <stp/>
        <stp>BID</stp>
        <stp>.SNAP220107P47</stp>
        <tr r="M7" s="1"/>
      </tp>
      <tp>
        <v>1.29</v>
        <stp/>
        <stp>ASK</stp>
        <stp>.SNAP211126P51</stp>
        <tr r="N2" s="1"/>
      </tp>
      <tp>
        <v>3</v>
        <stp/>
        <stp>BID</stp>
        <stp>.SNAP211203P50</stp>
        <tr r="M3" s="1"/>
      </tp>
      <tp>
        <v>0</v>
        <stp/>
        <stp>BID</stp>
        <stp>.SNAP211223P48</stp>
        <tr r="M6" s="1"/>
      </tp>
      <tp>
        <v>2.56</v>
        <stp/>
        <stp>BID</stp>
        <stp>.SNAP211217P48</stp>
        <tr r="M5" s="1"/>
      </tp>
      <tp>
        <v>0</v>
        <stp/>
        <stp>BID</stp>
        <stp>.SNAP211210P49</stp>
        <tr r="M4" s="1"/>
      </tp>
      <tp>
        <v>141.59989999999999</v>
        <stp/>
        <stp>52HIGH</stp>
        <stp>RBLX</stp>
        <tr r="D4" s="4"/>
      </tp>
      <tp>
        <v>2.9</v>
        <stp/>
        <stp>ASK</stp>
        <stp>.SNAP211217P48</stp>
        <tr r="N5" s="1"/>
      </tp>
      <tp>
        <v>0.01</v>
        <stp/>
        <stp>ASK</stp>
        <stp>.SNAP211210P49</stp>
        <tr r="N4" s="1"/>
      </tp>
      <tp>
        <v>0.01</v>
        <stp/>
        <stp>ASK</stp>
        <stp>.SNAP211223P48</stp>
        <tr r="N6" s="1"/>
      </tp>
      <tp>
        <v>3.3</v>
        <stp/>
        <stp>ASK</stp>
        <stp>.SNAP211203P50</stp>
        <tr r="N3" s="1"/>
      </tp>
      <tp>
        <v>0.98</v>
        <stp/>
        <stp>BID</stp>
        <stp>.SNAP211126P51</stp>
        <tr r="M2" s="1"/>
      </tp>
      <tp>
        <v>1.51</v>
        <stp/>
        <stp>MARK</stp>
        <stp>.CRWD220107P182.5</stp>
        <tr r="L6" s="4"/>
      </tp>
      <tp t="s">
        <v>N/A</v>
        <stp/>
        <stp>YIELD</stp>
        <stp>AMC</stp>
        <tr r="F5" s="4"/>
      </tp>
      <tp t="s">
        <v>1.70%</v>
        <stp/>
        <stp>YIELD</stp>
        <stp>APA</stp>
        <tr r="F3" s="4"/>
      </tp>
      <tp>
        <v>3.55</v>
        <stp/>
        <stp>BID</stp>
        <stp>.ETSY220107P200</stp>
        <tr r="M8" s="4"/>
      </tp>
      <tp>
        <v>200.99</v>
        <stp/>
        <stp>LAST</stp>
        <stp>ETSY</stp>
        <tr r="C8" s="4"/>
      </tp>
      <tp>
        <v>-0.01</v>
        <stp/>
        <stp>DELTA</stp>
        <stp>.APA220107P25</stp>
        <tr r="T3" s="4"/>
      </tp>
      <tp>
        <v>4.05</v>
        <stp/>
        <stp>ASK</stp>
        <stp>.ETSY220107P200</stp>
        <tr r="N8" s="4"/>
      </tp>
      <tp>
        <v>0.2</v>
        <stp/>
        <stp>MARK</stp>
        <stp>.ARKK220107P85.22</stp>
        <tr r="L10" s="4"/>
      </tp>
      <tp>
        <v>54.4</v>
        <stp/>
        <stp>LAST</stp>
        <stp>CHWY</stp>
        <tr r="C9" s="4"/>
      </tp>
      <tp>
        <v>-0.1</v>
        <stp/>
        <stp>DELTA</stp>
        <stp>.AMC220107P22</stp>
        <tr r="T5" s="4"/>
      </tp>
      <tp>
        <v>44.03</v>
        <stp/>
        <stp>LAST</stp>
        <stp>SNAP</stp>
        <tr r="C6" s="1"/>
        <tr r="C5" s="1"/>
        <tr r="C4" s="1"/>
        <tr r="C2" s="1"/>
        <tr r="C3" s="1"/>
        <tr r="C7" s="1"/>
      </tp>
      <tp>
        <v>368.05</v>
        <stp/>
        <stp>52LOW</stp>
        <stp>SPY</stp>
        <tr r="E3" s="3"/>
        <tr r="E9" s="3"/>
        <tr r="E8" s="3"/>
        <tr r="E7" s="3"/>
        <tr r="E6" s="3"/>
        <tr r="E5" s="3"/>
        <tr r="E4" s="3"/>
        <tr r="E2" s="3"/>
      </tp>
      <tp>
        <v>95.15</v>
        <stp/>
        <stp>LAST</stp>
        <stp>RBLX</stp>
        <tr r="C4" s="4"/>
      </tp>
      <tp>
        <v>22.47</v>
        <stp/>
        <stp>LAST</stp>
        <stp>NCLH</stp>
        <tr r="C2" s="4"/>
      </tp>
      <tp>
        <v>159.69999999999999</v>
        <stp/>
        <stp>52HIGH</stp>
        <stp>ARKK</stp>
        <tr r="D10" s="4"/>
      </tp>
      <tp>
        <v>298.48</v>
        <stp/>
        <stp>52HIGH</stp>
        <stp>CRWD</stp>
        <tr r="D6" s="4"/>
      </tp>
      <tp>
        <v>0.19</v>
        <stp/>
        <stp>ASK</stp>
        <stp>.CHWY220107P50</stp>
        <tr r="N9" s="4"/>
      </tp>
      <tp>
        <v>0.16</v>
        <stp/>
        <stp>BID</stp>
        <stp>.CHWY220107P50</stp>
        <tr r="M9" s="4"/>
      </tp>
      <tp>
        <v>307.75</v>
        <stp/>
        <stp>52HIGH</stp>
        <stp>ETSY</stp>
        <tr r="D8" s="4"/>
      </tp>
      <tp t="s">
        <v>1.37%</v>
        <stp/>
        <stp>YIELD</stp>
        <stp>SPY</stp>
        <tr r="F9" s="3"/>
        <tr r="F5" s="3"/>
        <tr r="F4" s="3"/>
        <tr r="F3" s="3"/>
        <tr r="F2" s="3"/>
        <tr r="F6" s="3"/>
        <tr r="F8" s="3"/>
        <tr r="F7" s="3"/>
      </tp>
      <tp>
        <v>0.14000000000000001</v>
        <stp/>
        <stp>BID</stp>
        <stp>.AMC220107P22</stp>
        <tr r="M5" s="4"/>
      </tp>
      <tp>
        <v>0.15</v>
        <stp/>
        <stp>ASK</stp>
        <stp>.AMC220107P22</stp>
        <tr r="N5" s="4"/>
      </tp>
      <tp>
        <v>0.02</v>
        <stp/>
        <stp>ASK</stp>
        <stp>.APA220107P25</stp>
        <tr r="N3" s="4"/>
      </tp>
      <tp>
        <v>0</v>
        <stp/>
        <stp>BID</stp>
        <stp>.SPY211229P470</stp>
        <tr r="M8" s="3"/>
      </tp>
      <tp>
        <v>3.71</v>
        <stp/>
        <stp>BID</stp>
        <stp>.SPY211223P475</stp>
        <tr r="M6" s="3"/>
      </tp>
      <tp>
        <v>0</v>
        <stp/>
        <stp>BID</stp>
        <stp>.SPY211227P470</stp>
        <tr r="M7" s="3"/>
      </tp>
      <tp>
        <v>1.41</v>
        <stp/>
        <stp>BID</stp>
        <stp>.SPY211222P470</stp>
        <tr r="M4" s="3"/>
      </tp>
      <tp>
        <v>0.08</v>
        <stp/>
        <stp>ASK</stp>
        <stp>.SPY211217P460</stp>
        <tr r="N2" s="3"/>
      </tp>
      <tp>
        <v>3.84</v>
        <stp/>
        <stp>BID</stp>
        <stp>.SPY211220P460</stp>
        <tr r="M3" s="3"/>
      </tp>
      <tp>
        <v>0</v>
        <stp/>
        <stp>BID</stp>
        <stp>.SPY211223P460</stp>
        <tr r="M5" s="3"/>
      </tp>
      <tp>
        <v>0</v>
        <stp/>
        <stp>BID</stp>
        <stp>.SPY211231P472</stp>
        <tr r="M9" s="3"/>
      </tp>
      <tp>
        <v>0.01</v>
        <stp/>
        <stp>ASK</stp>
        <stp>.SPY211223P460</stp>
        <tr r="N5" s="3"/>
      </tp>
      <tp>
        <v>0.01</v>
        <stp/>
        <stp>ASK</stp>
        <stp>.SPY211231P472</stp>
        <tr r="N9" s="3"/>
      </tp>
      <tp>
        <v>4.0199999999999996</v>
        <stp/>
        <stp>ASK</stp>
        <stp>.SPY211220P460</stp>
        <tr r="N3" s="3"/>
      </tp>
      <tp>
        <v>7.0000000000000007E-2</v>
        <stp/>
        <stp>BID</stp>
        <stp>.SPY211217P460</stp>
        <tr r="M2" s="3"/>
      </tp>
      <tp>
        <v>4.75</v>
        <stp/>
        <stp>ASK</stp>
        <stp>.SPY211223P475</stp>
        <tr r="N6" s="3"/>
      </tp>
      <tp>
        <v>0.01</v>
        <stp/>
        <stp>ASK</stp>
        <stp>.SPY211227P470</stp>
        <tr r="N7" s="3"/>
      </tp>
      <tp>
        <v>2.2599999999999998</v>
        <stp/>
        <stp>ASK</stp>
        <stp>.SPY211222P470</stp>
        <tr r="N4" s="3"/>
      </tp>
      <tp>
        <v>0.01</v>
        <stp/>
        <stp>ASK</stp>
        <stp>.SPY211229P470</stp>
        <tr r="N8" s="3"/>
      </tp>
      <tp>
        <v>3.9</v>
        <stp/>
        <stp>ASK</stp>
        <stp>.DPZ220107P530</stp>
        <tr r="N7" s="4"/>
      </tp>
      <tp>
        <v>3.2</v>
        <stp/>
        <stp>BID</stp>
        <stp>.DPZ220107P530</stp>
        <tr r="M7" s="4"/>
      </tp>
      <tp>
        <v>0</v>
        <stp/>
        <stp>BID</stp>
        <stp>.APA220107P25</stp>
        <tr r="M3" s="4"/>
      </tp>
      <tp>
        <v>0.14499999999999999</v>
        <stp/>
        <stp>MARK</stp>
        <stp>.AMC220107P22</stp>
        <tr r="L5" s="4"/>
      </tp>
      <tp>
        <v>-0.08</v>
        <stp/>
        <stp>DELTA</stp>
        <stp>.ARKK220107P85.22</stp>
        <tr r="T10" s="4"/>
      </tp>
      <tp>
        <v>-0.1</v>
        <stp/>
        <stp>DELTA</stp>
        <stp>.CHWY220107P50</stp>
        <tr r="T9" s="4"/>
      </tp>
      <tp>
        <v>0.17499999999999999</v>
        <stp/>
        <stp>MARK</stp>
        <stp>.CHWY220107P50</stp>
        <tr r="L9" s="4"/>
      </tp>
      <tp>
        <v>-0.02</v>
        <stp/>
        <stp>DELTA</stp>
        <stp>.NCLH220107P18</stp>
        <tr r="T2" s="4"/>
      </tp>
      <tp>
        <v>-0.32</v>
        <stp/>
        <stp>DELTA</stp>
        <stp>.RBLX220107P92</stp>
        <tr r="T4" s="4"/>
      </tp>
      <tp>
        <v>1.425</v>
        <stp/>
        <stp>MARK</stp>
        <stp>.RBLX220107P92</stp>
        <tr r="L4" s="4"/>
      </tp>
      <tp>
        <v>1.4999999999999999E-2</v>
        <stp/>
        <stp>MARK</stp>
        <stp>.NCLH220107P18</stp>
        <tr r="L2" s="4"/>
      </tp>
      <tp>
        <v>1.135</v>
        <stp/>
        <stp>MARK</stp>
        <stp>.SNAP211126P51</stp>
        <tr r="L2" s="1"/>
      </tp>
      <tp>
        <v>5.0000000000000001E-3</v>
        <stp/>
        <stp>MARK</stp>
        <stp>.SNAP211223P48</stp>
        <tr r="L6" s="1"/>
      </tp>
      <tp>
        <v>5.0000000000000001E-3</v>
        <stp/>
        <stp>MARK</stp>
        <stp>.SNAP211210P49</stp>
        <tr r="L4" s="1"/>
      </tp>
      <tp>
        <v>2.73</v>
        <stp/>
        <stp>MARK</stp>
        <stp>.SNAP211217P48</stp>
        <tr r="L5" s="1"/>
      </tp>
      <tp>
        <v>3.15</v>
        <stp/>
        <stp>MARK</stp>
        <stp>.SNAP211203P50</stp>
        <tr r="L3" s="1"/>
      </tp>
      <tp>
        <v>0.01</v>
        <stp/>
        <stp>MARK</stp>
        <stp>.APA220107P25</stp>
        <tr r="L3" s="4"/>
      </tp>
      <tp>
        <v>3.07</v>
        <stp/>
        <stp>MARK</stp>
        <stp>.SNAP220107P47</stp>
        <tr r="L7" s="1"/>
      </tp>
      <tp>
        <v>-0.26</v>
        <stp/>
        <stp>DELTA</stp>
        <stp>.CRWD220107P182.5</stp>
        <tr r="T6" s="4"/>
      </tp>
      <tp>
        <v>-1</v>
        <stp/>
        <stp>DELTA</stp>
        <stp>.SNAP211203P50</stp>
        <tr r="T3" s="1"/>
      </tp>
      <tp>
        <v>-1</v>
        <stp/>
        <stp>DELTA</stp>
        <stp>.SNAP211223P48</stp>
        <tr r="T6" s="1"/>
      </tp>
      <tp>
        <v>-1</v>
        <stp/>
        <stp>DELTA</stp>
        <stp>.SNAP211210P49</stp>
        <tr r="T4" s="1"/>
      </tp>
      <tp>
        <v>-1</v>
        <stp/>
        <stp>DELTA</stp>
        <stp>.SNAP211217P48</stp>
        <tr r="T5" s="1"/>
      </tp>
      <tp>
        <v>-1</v>
        <stp/>
        <stp>DELTA</stp>
        <stp>.SNAP211126P51</stp>
        <tr r="T2" s="1"/>
      </tp>
      <tp>
        <v>-1</v>
        <stp/>
        <stp>DELTA</stp>
        <stp>.SNAP220107P47</stp>
        <tr r="T7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B244-1328-4C3B-A604-5C278149FF62}">
  <dimension ref="A1:AM17"/>
  <sheetViews>
    <sheetView topLeftCell="C1" zoomScaleNormal="100" workbookViewId="0">
      <selection activeCell="AC22" sqref="AC22"/>
    </sheetView>
  </sheetViews>
  <sheetFormatPr defaultRowHeight="14.4" x14ac:dyDescent="0.3"/>
  <cols>
    <col min="6" max="6" width="8.88671875" hidden="1" customWidth="1"/>
    <col min="7" max="7" width="8.88671875" customWidth="1"/>
    <col min="8" max="8" width="8.88671875" hidden="1" customWidth="1"/>
    <col min="9" max="9" width="15.88671875" hidden="1" customWidth="1"/>
    <col min="10" max="10" width="9.44140625" bestFit="1" customWidth="1"/>
    <col min="12" max="12" width="0" hidden="1" customWidth="1"/>
    <col min="13" max="13" width="8.88671875" customWidth="1"/>
    <col min="15" max="15" width="8.88671875" customWidth="1"/>
    <col min="16" max="16" width="9.77734375" bestFit="1" customWidth="1"/>
    <col min="17" max="18" width="8.88671875" hidden="1" customWidth="1"/>
    <col min="23" max="23" width="8.109375" bestFit="1" customWidth="1"/>
    <col min="24" max="24" width="10.33203125" bestFit="1" customWidth="1"/>
    <col min="25" max="25" width="14.33203125" bestFit="1" customWidth="1"/>
    <col min="26" max="26" width="11.88671875" bestFit="1" customWidth="1"/>
    <col min="28" max="28" width="12.21875" bestFit="1" customWidth="1"/>
    <col min="30" max="30" width="14.6640625" bestFit="1" customWidth="1"/>
    <col min="31" max="31" width="10.109375" bestFit="1" customWidth="1"/>
    <col min="32" max="32" width="9.21875" bestFit="1" customWidth="1"/>
    <col min="33" max="33" width="10.109375" bestFit="1" customWidth="1"/>
    <col min="34" max="34" width="11.33203125" bestFit="1" customWidth="1"/>
    <col min="35" max="35" width="12" bestFit="1" customWidth="1"/>
    <col min="36" max="36" width="13.77734375" bestFit="1" customWidth="1"/>
    <col min="37" max="37" width="10.33203125" bestFit="1" customWidth="1"/>
    <col min="38" max="38" width="9.21875" bestFit="1" customWidth="1"/>
    <col min="39" max="39" width="11.33203125" bestFit="1" customWidth="1"/>
  </cols>
  <sheetData>
    <row r="1" spans="1:39" s="3" customFormat="1" ht="28.8" x14ac:dyDescent="0.3">
      <c r="A1" s="1" t="s">
        <v>0</v>
      </c>
      <c r="B1" s="26" t="s">
        <v>35</v>
      </c>
      <c r="C1" s="2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26" t="s">
        <v>36</v>
      </c>
      <c r="I1" s="3" t="s">
        <v>6</v>
      </c>
      <c r="J1" s="1" t="s">
        <v>7</v>
      </c>
      <c r="K1" s="1" t="s">
        <v>6</v>
      </c>
      <c r="L1" s="25" t="s">
        <v>31</v>
      </c>
      <c r="M1" s="3" t="s">
        <v>8</v>
      </c>
      <c r="N1" s="3" t="s">
        <v>9</v>
      </c>
      <c r="O1" s="4" t="s">
        <v>54</v>
      </c>
      <c r="P1" s="4" t="s">
        <v>55</v>
      </c>
      <c r="Q1" s="4" t="s">
        <v>10</v>
      </c>
      <c r="R1" s="4" t="s">
        <v>11</v>
      </c>
      <c r="S1" s="5" t="s">
        <v>12</v>
      </c>
      <c r="T1" s="3" t="s">
        <v>13</v>
      </c>
      <c r="U1" s="1" t="s">
        <v>14</v>
      </c>
      <c r="V1" s="1" t="s">
        <v>15</v>
      </c>
      <c r="W1" s="3" t="s">
        <v>16</v>
      </c>
      <c r="X1" s="3" t="s">
        <v>17</v>
      </c>
      <c r="Y1" s="33" t="s">
        <v>38</v>
      </c>
      <c r="Z1" s="33" t="s">
        <v>47</v>
      </c>
      <c r="AA1" s="3" t="s">
        <v>42</v>
      </c>
      <c r="AC1" s="6" t="s">
        <v>32</v>
      </c>
      <c r="AD1" s="6" t="s">
        <v>18</v>
      </c>
      <c r="AE1" s="6" t="s">
        <v>19</v>
      </c>
      <c r="AF1" s="6" t="s">
        <v>20</v>
      </c>
      <c r="AG1" s="6" t="s">
        <v>21</v>
      </c>
      <c r="AH1" s="6" t="s">
        <v>22</v>
      </c>
      <c r="AI1" s="6" t="s">
        <v>16</v>
      </c>
      <c r="AJ1" s="6" t="s">
        <v>23</v>
      </c>
      <c r="AK1" s="3" t="s">
        <v>33</v>
      </c>
      <c r="AL1" s="3" t="s">
        <v>34</v>
      </c>
      <c r="AM1" s="3" t="s">
        <v>24</v>
      </c>
    </row>
    <row r="2" spans="1:39" s="7" customFormat="1" x14ac:dyDescent="0.3">
      <c r="A2" s="38" t="s">
        <v>25</v>
      </c>
      <c r="B2" s="38"/>
      <c r="C2" s="8">
        <f>RTD("tos.rtd",,C$1,UPPER(A2))</f>
        <v>44.03</v>
      </c>
      <c r="D2" s="8">
        <f>RTD("tos.rtd", , "52HIGH", A2)</f>
        <v>83.34</v>
      </c>
      <c r="E2" s="8">
        <f>RTD("tos.rtd", , "52LOW", A2)</f>
        <v>42.96</v>
      </c>
      <c r="F2" s="7" t="str">
        <f>RTD("tos.rtd", , "YIELD", A2)</f>
        <v>N/A</v>
      </c>
      <c r="G2" s="38">
        <v>10</v>
      </c>
      <c r="H2" s="7" t="s">
        <v>26</v>
      </c>
      <c r="I2" s="7" t="str">
        <f t="shared" ref="I2:I7" si="0">"."&amp;A2&amp;TEXT(J2,"YYMMDD")&amp;H2&amp;K2</f>
        <v>.SNAP211126P51</v>
      </c>
      <c r="J2" s="37">
        <v>44526</v>
      </c>
      <c r="K2" s="38">
        <v>51</v>
      </c>
      <c r="L2" s="7">
        <f>RTD("tos.rtd", , "MARK",I2)</f>
        <v>1.135</v>
      </c>
      <c r="M2" s="7">
        <f>RTD("tos.rtd", , "BID",I2)</f>
        <v>0.98</v>
      </c>
      <c r="N2" s="7">
        <f>RTD("tos.rtd", , "ASK",I2)</f>
        <v>1.29</v>
      </c>
      <c r="O2" s="10">
        <f>U2/K2</f>
        <v>1.1176470588235293E-2</v>
      </c>
      <c r="P2" s="10">
        <f t="shared" ref="P2:P7" ca="1" si="1">365/S2*O2</f>
        <v>-0.10198529411764705</v>
      </c>
      <c r="Q2" s="10">
        <f t="shared" ref="Q2:Q7" si="2">(D2-C2)/C2</f>
        <v>0.89280036338859869</v>
      </c>
      <c r="R2" s="10">
        <f t="shared" ref="R2:R7" si="3">(E2-C2)/C2</f>
        <v>-2.4301612536906662E-2</v>
      </c>
      <c r="S2" s="11">
        <f t="shared" ref="S2:S7" ca="1" si="4">J2-TODAY()</f>
        <v>-40</v>
      </c>
      <c r="T2" s="7">
        <f>RTD("tos.rtd", , "DELTA", I2)</f>
        <v>-1</v>
      </c>
      <c r="U2" s="38">
        <v>0.56999999999999995</v>
      </c>
      <c r="V2" s="38">
        <v>1.81</v>
      </c>
      <c r="W2" s="12">
        <f t="shared" ref="W2:W6" si="5">IF(V2&lt;=0,(U2-L2)*G2,(U2-V2)*G2)</f>
        <v>-12.400000000000002</v>
      </c>
      <c r="X2" s="10">
        <f t="shared" ref="X2:X6" si="6">(W2/U2)/G2</f>
        <v>-2.1754385964912286</v>
      </c>
      <c r="Y2" s="30">
        <f>(K2*100-U2*100)*G2</f>
        <v>50430</v>
      </c>
      <c r="Z2" s="30">
        <f>(Y2/100)/G2</f>
        <v>50.43</v>
      </c>
      <c r="AA2" s="10">
        <f>(C2-Z2)/C2</f>
        <v>-0.14535543947308649</v>
      </c>
      <c r="AB2" s="12"/>
      <c r="AC2" s="13">
        <f>COUNT(W2:W1000)</f>
        <v>6</v>
      </c>
      <c r="AD2" s="14">
        <f>COUNTIF(W2:W1000,"&lt;0")</f>
        <v>3</v>
      </c>
      <c r="AE2" s="14">
        <f>COUNTIF(W2:W1000,"&gt;0")</f>
        <v>3</v>
      </c>
      <c r="AF2" s="15">
        <f>AE2/AC2</f>
        <v>0.5</v>
      </c>
      <c r="AG2" s="34">
        <f>AVERAGEIF(W2:W1000,"&lt;0")*100*-1</f>
        <v>1353.3333333333333</v>
      </c>
      <c r="AH2" s="16">
        <f>AVERAGEIF(W2:W1000,"&gt;0")*100</f>
        <v>886.66666666666674</v>
      </c>
      <c r="AI2" s="16">
        <f>SUM(W2:W1000)*100</f>
        <v>-1400.0000000000005</v>
      </c>
      <c r="AJ2" s="17">
        <f>AVERAGE(X2:X1000)</f>
        <v>-0.53642863196638957</v>
      </c>
      <c r="AK2" s="18">
        <f>SUMIF(W2:W288,"&gt;0")*100</f>
        <v>2660</v>
      </c>
      <c r="AL2" s="35">
        <f>SUMIF(W2:W288,"&lt;0")*-1*100</f>
        <v>4060</v>
      </c>
      <c r="AM2" s="19">
        <f>AK2/AL2</f>
        <v>0.65517241379310343</v>
      </c>
    </row>
    <row r="3" spans="1:39" s="7" customFormat="1" x14ac:dyDescent="0.3">
      <c r="A3" s="43" t="s">
        <v>25</v>
      </c>
      <c r="B3" s="43"/>
      <c r="C3" s="8">
        <f>RTD("tos.rtd",,C$1,UPPER(A3))</f>
        <v>44.03</v>
      </c>
      <c r="D3" s="8">
        <f>RTD("tos.rtd", , "52HIGH", A3)</f>
        <v>83.34</v>
      </c>
      <c r="E3" s="8">
        <f>RTD("tos.rtd", , "52LOW", A3)</f>
        <v>42.96</v>
      </c>
      <c r="F3" s="7" t="str">
        <f>RTD("tos.rtd", , "YIELD", A3)</f>
        <v>N/A</v>
      </c>
      <c r="G3" s="38">
        <v>10</v>
      </c>
      <c r="H3" s="7" t="s">
        <v>26</v>
      </c>
      <c r="I3" s="7" t="str">
        <f t="shared" si="0"/>
        <v>.SNAP211203P50</v>
      </c>
      <c r="J3" s="37">
        <v>44533</v>
      </c>
      <c r="K3" s="38">
        <v>50</v>
      </c>
      <c r="L3" s="7">
        <f>RTD("tos.rtd", , "MARK",I3)</f>
        <v>3.15</v>
      </c>
      <c r="M3" s="7">
        <f>RTD("tos.rtd", , "BID",I3)</f>
        <v>3</v>
      </c>
      <c r="N3" s="7">
        <f>RTD("tos.rtd", , "ASK",I3)</f>
        <v>3.3</v>
      </c>
      <c r="O3" s="10">
        <f t="shared" ref="O3:O7" si="7">U3/K3</f>
        <v>3.9599999999999996E-2</v>
      </c>
      <c r="P3" s="10">
        <f t="shared" ca="1" si="1"/>
        <v>-0.43799999999999994</v>
      </c>
      <c r="Q3" s="10">
        <f t="shared" si="2"/>
        <v>0.89280036338859869</v>
      </c>
      <c r="R3" s="10">
        <f t="shared" si="3"/>
        <v>-2.4301612536906662E-2</v>
      </c>
      <c r="S3" s="11">
        <f t="shared" ca="1" si="4"/>
        <v>-33</v>
      </c>
      <c r="T3" s="7">
        <f>RTD("tos.rtd", , "DELTA", I3)</f>
        <v>-1</v>
      </c>
      <c r="U3" s="38">
        <v>1.98</v>
      </c>
      <c r="V3" s="38">
        <v>1.1000000000000001</v>
      </c>
      <c r="W3" s="12">
        <f t="shared" si="5"/>
        <v>8.7999999999999989</v>
      </c>
      <c r="X3" s="10">
        <f t="shared" si="6"/>
        <v>0.44444444444444436</v>
      </c>
      <c r="Y3" s="30">
        <f t="shared" ref="Y3:Y7" si="8">(K3*100-U3*100)*G3</f>
        <v>48020</v>
      </c>
      <c r="Z3" s="30">
        <f t="shared" ref="Z3:Z7" si="9">(Y3/100)/G3</f>
        <v>48.019999999999996</v>
      </c>
      <c r="AA3" s="10">
        <f>(C3-Z3)/C3</f>
        <v>-9.0620031796502271E-2</v>
      </c>
      <c r="AB3" s="12"/>
    </row>
    <row r="4" spans="1:39" s="7" customFormat="1" x14ac:dyDescent="0.3">
      <c r="A4" s="38" t="s">
        <v>25</v>
      </c>
      <c r="B4" s="38"/>
      <c r="C4" s="8">
        <f>RTD("tos.rtd",,C$1,UPPER(A4))</f>
        <v>44.03</v>
      </c>
      <c r="D4" s="8">
        <f>RTD("tos.rtd", , "52HIGH", A4)</f>
        <v>83.34</v>
      </c>
      <c r="E4" s="8">
        <f>RTD("tos.rtd", , "52LOW", A4)</f>
        <v>42.96</v>
      </c>
      <c r="F4" s="7" t="str">
        <f>RTD("tos.rtd", , "YIELD", A4)</f>
        <v>N/A</v>
      </c>
      <c r="G4" s="38">
        <v>10</v>
      </c>
      <c r="H4" s="7" t="s">
        <v>26</v>
      </c>
      <c r="I4" s="7" t="str">
        <f t="shared" si="0"/>
        <v>.SNAP211210P49</v>
      </c>
      <c r="J4" s="37">
        <v>44540</v>
      </c>
      <c r="K4" s="38">
        <v>49</v>
      </c>
      <c r="L4" s="7">
        <f>RTD("tos.rtd", , "MARK",I4)</f>
        <v>5.0000000000000001E-3</v>
      </c>
      <c r="M4" s="7">
        <f>RTD("tos.rtd", , "BID",I4)</f>
        <v>0</v>
      </c>
      <c r="N4" s="7">
        <f>RTD("tos.rtd", , "ASK",I4)</f>
        <v>0.01</v>
      </c>
      <c r="O4" s="10">
        <f t="shared" si="7"/>
        <v>2.8163265306122447E-2</v>
      </c>
      <c r="P4" s="10">
        <f t="shared" ca="1" si="1"/>
        <v>-0.3953689167974882</v>
      </c>
      <c r="Q4" s="10">
        <f t="shared" si="2"/>
        <v>0.89280036338859869</v>
      </c>
      <c r="R4" s="10">
        <f t="shared" si="3"/>
        <v>-2.4301612536906662E-2</v>
      </c>
      <c r="S4" s="11">
        <f t="shared" ca="1" si="4"/>
        <v>-26</v>
      </c>
      <c r="T4" s="7">
        <f>RTD("tos.rtd", , "DELTA", I4)</f>
        <v>-1</v>
      </c>
      <c r="U4" s="38">
        <v>1.38</v>
      </c>
      <c r="V4" s="38">
        <v>1.95</v>
      </c>
      <c r="W4" s="12">
        <f t="shared" si="5"/>
        <v>-5.7000000000000011</v>
      </c>
      <c r="X4" s="10">
        <f t="shared" si="6"/>
        <v>-0.41304347826086973</v>
      </c>
      <c r="Y4" s="30">
        <f t="shared" si="8"/>
        <v>47620</v>
      </c>
      <c r="Z4" s="30">
        <f t="shared" si="9"/>
        <v>47.62</v>
      </c>
      <c r="AA4" s="10">
        <f t="shared" ref="AA4:AA7" si="10">(C4-Z4)/C4</f>
        <v>-8.1535316829434393E-2</v>
      </c>
      <c r="AC4" s="1" t="s">
        <v>27</v>
      </c>
      <c r="AD4" s="3" t="s">
        <v>46</v>
      </c>
      <c r="AJ4" s="20"/>
    </row>
    <row r="5" spans="1:39" s="7" customFormat="1" x14ac:dyDescent="0.3">
      <c r="A5" s="38" t="s">
        <v>25</v>
      </c>
      <c r="B5" s="38"/>
      <c r="C5" s="8">
        <f>RTD("tos.rtd",,C$1,UPPER(A5))</f>
        <v>44.03</v>
      </c>
      <c r="D5" s="8">
        <f>RTD("tos.rtd", , "52HIGH", A5)</f>
        <v>83.34</v>
      </c>
      <c r="E5" s="8">
        <f>RTD("tos.rtd", , "52LOW", A5)</f>
        <v>42.96</v>
      </c>
      <c r="F5" s="7" t="str">
        <f>RTD("tos.rtd", , "YIELD", A5)</f>
        <v>N/A</v>
      </c>
      <c r="G5" s="38">
        <v>5</v>
      </c>
      <c r="H5" s="7" t="s">
        <v>26</v>
      </c>
      <c r="I5" s="7" t="str">
        <f t="shared" si="0"/>
        <v>.SNAP211217P48</v>
      </c>
      <c r="J5" s="37">
        <v>44547</v>
      </c>
      <c r="K5" s="38">
        <v>48</v>
      </c>
      <c r="L5" s="7">
        <f>RTD("tos.rtd", , "MARK",I5)</f>
        <v>2.73</v>
      </c>
      <c r="M5" s="7">
        <f>RTD("tos.rtd", , "BID",I5)</f>
        <v>2.56</v>
      </c>
      <c r="N5" s="7">
        <f>RTD("tos.rtd", , "ASK",I5)</f>
        <v>2.9</v>
      </c>
      <c r="O5" s="10">
        <f t="shared" si="7"/>
        <v>4.3333333333333335E-2</v>
      </c>
      <c r="P5" s="10">
        <f t="shared" ca="1" si="1"/>
        <v>-0.83245614035087723</v>
      </c>
      <c r="Q5" s="10">
        <f t="shared" si="2"/>
        <v>0.89280036338859869</v>
      </c>
      <c r="R5" s="10">
        <f t="shared" si="3"/>
        <v>-2.4301612536906662E-2</v>
      </c>
      <c r="S5" s="11">
        <f t="shared" ca="1" si="4"/>
        <v>-19</v>
      </c>
      <c r="T5" s="7">
        <f>RTD("tos.rtd", , "DELTA", I5)</f>
        <v>-1</v>
      </c>
      <c r="U5" s="38">
        <v>2.08</v>
      </c>
      <c r="V5" s="38">
        <v>0.52</v>
      </c>
      <c r="W5" s="12">
        <f t="shared" si="5"/>
        <v>7.8000000000000007</v>
      </c>
      <c r="X5" s="10">
        <f t="shared" si="6"/>
        <v>0.75</v>
      </c>
      <c r="Y5" s="30">
        <f t="shared" si="8"/>
        <v>22960</v>
      </c>
      <c r="Z5" s="30">
        <f t="shared" si="9"/>
        <v>45.92</v>
      </c>
      <c r="AA5" s="10">
        <f t="shared" si="10"/>
        <v>-4.2925278219395881E-2</v>
      </c>
      <c r="AC5" s="21">
        <v>47</v>
      </c>
      <c r="AD5" s="21">
        <f>(AC5-(SUM(U2:U1000)-(SUM(V2:V1000))))</f>
        <v>46.620000000000005</v>
      </c>
    </row>
    <row r="6" spans="1:39" s="7" customFormat="1" x14ac:dyDescent="0.3">
      <c r="A6" s="38" t="s">
        <v>25</v>
      </c>
      <c r="B6" s="38"/>
      <c r="C6" s="8">
        <f>RTD("tos.rtd",,C$1,UPPER(A6))</f>
        <v>44.03</v>
      </c>
      <c r="D6" s="8">
        <f>RTD("tos.rtd", , "52HIGH", A6)</f>
        <v>83.34</v>
      </c>
      <c r="E6" s="8">
        <f>RTD("tos.rtd", , "52LOW", A6)</f>
        <v>42.96</v>
      </c>
      <c r="F6" s="7" t="str">
        <f>RTD("tos.rtd", , "YIELD", A6)</f>
        <v>N/A</v>
      </c>
      <c r="G6" s="38">
        <v>10</v>
      </c>
      <c r="H6" s="7" t="s">
        <v>26</v>
      </c>
      <c r="I6" s="7" t="str">
        <f t="shared" si="0"/>
        <v>.SNAP211223P48</v>
      </c>
      <c r="J6" s="37">
        <v>44553</v>
      </c>
      <c r="K6" s="38">
        <v>48</v>
      </c>
      <c r="L6" s="7">
        <f>RTD("tos.rtd", , "MARK",I6)</f>
        <v>5.0000000000000001E-3</v>
      </c>
      <c r="M6" s="7">
        <f>RTD("tos.rtd", , "BID",I6)</f>
        <v>0</v>
      </c>
      <c r="N6" s="7">
        <f>RTD("tos.rtd", , "ASK",I6)</f>
        <v>0.01</v>
      </c>
      <c r="O6" s="10">
        <f t="shared" si="7"/>
        <v>1.9166666666666669E-2</v>
      </c>
      <c r="P6" s="10">
        <f t="shared" ca="1" si="1"/>
        <v>-0.53814102564102573</v>
      </c>
      <c r="Q6" s="10">
        <f t="shared" si="2"/>
        <v>0.89280036338859869</v>
      </c>
      <c r="R6" s="10">
        <f t="shared" si="3"/>
        <v>-2.4301612536906662E-2</v>
      </c>
      <c r="S6" s="11">
        <f t="shared" ca="1" si="4"/>
        <v>-13</v>
      </c>
      <c r="T6" s="7">
        <f>RTD("tos.rtd", , "DELTA", I6)</f>
        <v>-1</v>
      </c>
      <c r="U6" s="38">
        <v>0.92</v>
      </c>
      <c r="V6" s="38">
        <v>3.17</v>
      </c>
      <c r="W6" s="12">
        <f t="shared" si="5"/>
        <v>-22.5</v>
      </c>
      <c r="X6" s="10">
        <f t="shared" si="6"/>
        <v>-2.4456521739130435</v>
      </c>
      <c r="Y6" s="30">
        <f t="shared" si="8"/>
        <v>47080</v>
      </c>
      <c r="Z6" s="30">
        <f t="shared" si="9"/>
        <v>47.08</v>
      </c>
      <c r="AA6" s="10">
        <f t="shared" si="10"/>
        <v>-6.927095162389274E-2</v>
      </c>
      <c r="AD6" s="28"/>
    </row>
    <row r="7" spans="1:39" s="7" customFormat="1" x14ac:dyDescent="0.3">
      <c r="A7" s="38" t="s">
        <v>25</v>
      </c>
      <c r="B7" s="38"/>
      <c r="C7" s="8">
        <f>RTD("tos.rtd",,C$1,UPPER(A7))</f>
        <v>44.03</v>
      </c>
      <c r="D7" s="8">
        <f>RTD("tos.rtd", , "52HIGH", A7)</f>
        <v>83.34</v>
      </c>
      <c r="E7" s="8">
        <f>RTD("tos.rtd", , "52LOW", A7)</f>
        <v>42.96</v>
      </c>
      <c r="F7" s="7" t="str">
        <f>RTD("tos.rtd", , "YIELD", A7)</f>
        <v>N/A</v>
      </c>
      <c r="G7" s="38">
        <v>5</v>
      </c>
      <c r="H7" s="7" t="s">
        <v>26</v>
      </c>
      <c r="I7" s="7" t="str">
        <f t="shared" si="0"/>
        <v>.SNAP220107P47</v>
      </c>
      <c r="J7" s="37">
        <v>44568</v>
      </c>
      <c r="K7" s="38">
        <v>47</v>
      </c>
      <c r="L7" s="7">
        <f>RTD("tos.rtd", , "MARK",I7)</f>
        <v>3.07</v>
      </c>
      <c r="M7" s="7">
        <f>RTD("tos.rtd", , "BID",I7)</f>
        <v>2.94</v>
      </c>
      <c r="N7" s="7">
        <f>RTD("tos.rtd", , "ASK",I7)</f>
        <v>3.2</v>
      </c>
      <c r="O7" s="10">
        <f t="shared" si="7"/>
        <v>6.851063829787235E-2</v>
      </c>
      <c r="P7" s="10">
        <f t="shared" ca="1" si="1"/>
        <v>12.503191489361704</v>
      </c>
      <c r="Q7" s="10">
        <f t="shared" si="2"/>
        <v>0.89280036338859869</v>
      </c>
      <c r="R7" s="10">
        <f t="shared" si="3"/>
        <v>-2.4301612536906662E-2</v>
      </c>
      <c r="S7" s="11">
        <f t="shared" ca="1" si="4"/>
        <v>2</v>
      </c>
      <c r="T7" s="7">
        <f>RTD("tos.rtd", , "DELTA", I7)</f>
        <v>-1</v>
      </c>
      <c r="U7" s="38">
        <v>3.22</v>
      </c>
      <c r="V7" s="38">
        <v>1.22</v>
      </c>
      <c r="W7" s="12">
        <f>IF(V7&lt;=0,(U7-L7)*G7,(U7-V7)*G7)</f>
        <v>10</v>
      </c>
      <c r="X7" s="10">
        <f>(W7/U7)/G7</f>
        <v>0.6211180124223602</v>
      </c>
      <c r="Y7" s="30">
        <f t="shared" si="8"/>
        <v>21890</v>
      </c>
      <c r="Z7" s="30">
        <f t="shared" si="9"/>
        <v>43.78</v>
      </c>
      <c r="AA7" s="10">
        <f t="shared" si="10"/>
        <v>5.6779468544174427E-3</v>
      </c>
      <c r="AB7" s="28"/>
      <c r="AC7" s="1" t="s">
        <v>27</v>
      </c>
      <c r="AD7" s="3" t="s">
        <v>46</v>
      </c>
      <c r="AE7" s="1" t="s">
        <v>72</v>
      </c>
      <c r="AF7" s="3" t="s">
        <v>71</v>
      </c>
    </row>
    <row r="8" spans="1:39" s="7" customFormat="1" x14ac:dyDescent="0.3">
      <c r="C8" s="8"/>
      <c r="D8" s="8"/>
      <c r="E8" s="8"/>
      <c r="J8" s="9"/>
      <c r="O8" s="10"/>
      <c r="P8" s="10"/>
      <c r="Q8" s="10"/>
      <c r="R8" s="10"/>
      <c r="S8" s="11"/>
      <c r="W8" s="12"/>
      <c r="X8" s="10"/>
      <c r="Z8" s="28"/>
      <c r="AA8" s="27"/>
      <c r="AB8" s="29"/>
      <c r="AC8" s="52">
        <v>47</v>
      </c>
      <c r="AD8" s="21">
        <f>(AC8*AF8-(SUM(W2:W1003)))/AF8</f>
        <v>48.4</v>
      </c>
      <c r="AE8" s="38">
        <v>1000</v>
      </c>
      <c r="AF8" s="39">
        <f>AE8/100</f>
        <v>10</v>
      </c>
    </row>
    <row r="9" spans="1:39" s="7" customFormat="1" x14ac:dyDescent="0.3">
      <c r="C9" s="8"/>
      <c r="D9" s="8"/>
      <c r="E9" s="8"/>
      <c r="J9" s="9"/>
      <c r="O9" s="10"/>
      <c r="P9" s="10"/>
      <c r="Q9" s="10"/>
      <c r="R9" s="10"/>
      <c r="S9" s="11"/>
      <c r="W9" s="12"/>
      <c r="X9" s="10"/>
      <c r="Z9" s="28"/>
      <c r="AA9" s="30"/>
      <c r="AB9" s="30"/>
      <c r="AC9" s="28"/>
      <c r="AD9" s="31"/>
      <c r="AE9" s="28"/>
    </row>
    <row r="10" spans="1:39" s="7" customFormat="1" x14ac:dyDescent="0.3">
      <c r="C10" s="8"/>
      <c r="D10" s="8"/>
      <c r="E10" s="8"/>
      <c r="J10" s="9"/>
      <c r="O10" s="10"/>
      <c r="P10" s="10"/>
      <c r="Q10" s="10"/>
      <c r="R10" s="10"/>
      <c r="S10" s="11"/>
      <c r="W10" s="12"/>
      <c r="X10" s="10"/>
      <c r="Z10" s="28"/>
      <c r="AA10" s="28"/>
      <c r="AB10" s="28"/>
      <c r="AC10" s="28"/>
      <c r="AD10" s="28"/>
      <c r="AE10" s="28"/>
    </row>
    <row r="11" spans="1:39" s="7" customFormat="1" x14ac:dyDescent="0.3">
      <c r="C11" s="8"/>
      <c r="D11" s="8"/>
      <c r="E11" s="8"/>
      <c r="J11" s="9"/>
      <c r="O11" s="10"/>
      <c r="P11" s="10"/>
      <c r="Q11" s="10"/>
      <c r="R11" s="10"/>
      <c r="S11" s="11"/>
      <c r="W11" s="12"/>
      <c r="X11" s="10"/>
      <c r="Z11" s="28"/>
      <c r="AA11" s="28"/>
      <c r="AB11" s="28"/>
      <c r="AC11" s="28"/>
      <c r="AD11" s="28"/>
      <c r="AE11" s="28"/>
    </row>
    <row r="12" spans="1:39" x14ac:dyDescent="0.3">
      <c r="W12" s="22"/>
      <c r="Z12" s="32"/>
      <c r="AA12" s="27"/>
      <c r="AB12" s="29"/>
      <c r="AC12" s="27"/>
      <c r="AD12" s="29"/>
      <c r="AE12" s="32"/>
    </row>
    <row r="13" spans="1:39" x14ac:dyDescent="0.3">
      <c r="W13" s="22"/>
      <c r="Z13" s="32"/>
      <c r="AA13" s="30"/>
      <c r="AB13" s="30"/>
      <c r="AC13" s="28"/>
      <c r="AD13" s="31"/>
      <c r="AE13" s="32"/>
    </row>
    <row r="14" spans="1:39" x14ac:dyDescent="0.3">
      <c r="W14" s="22"/>
      <c r="Z14" s="32"/>
      <c r="AA14" s="32"/>
      <c r="AB14" s="32"/>
      <c r="AC14" s="32"/>
      <c r="AD14" s="32"/>
      <c r="AE14" s="32"/>
    </row>
    <row r="15" spans="1:39" x14ac:dyDescent="0.3">
      <c r="W15" s="22"/>
    </row>
    <row r="16" spans="1:39" x14ac:dyDescent="0.3">
      <c r="W16" s="22"/>
    </row>
    <row r="17" spans="1:2" x14ac:dyDescent="0.3">
      <c r="A17" s="23"/>
      <c r="B17" s="23"/>
    </row>
  </sheetData>
  <conditionalFormatting sqref="R2:R11">
    <cfRule type="cellIs" dxfId="22" priority="7" operator="greaterThanOrEqual">
      <formula>0.12</formula>
    </cfRule>
  </conditionalFormatting>
  <conditionalFormatting sqref="X1:X1048576">
    <cfRule type="cellIs" dxfId="21" priority="6" operator="lessThan">
      <formula>0</formula>
    </cfRule>
  </conditionalFormatting>
  <conditionalFormatting sqref="A12:B197">
    <cfRule type="expression" dxfId="20" priority="5">
      <formula>$W12:$W211&lt;0</formula>
    </cfRule>
  </conditionalFormatting>
  <conditionalFormatting sqref="A2:B11">
    <cfRule type="expression" dxfId="19" priority="8">
      <formula>$W2:$W200&lt;0</formula>
    </cfRule>
  </conditionalFormatting>
  <conditionalFormatting sqref="AM2">
    <cfRule type="cellIs" dxfId="18" priority="3" operator="greaterThan">
      <formula>1</formula>
    </cfRule>
    <cfRule type="cellIs" dxfId="17" priority="4" operator="lessThan">
      <formula>1</formula>
    </cfRule>
  </conditionalFormatting>
  <conditionalFormatting sqref="AA2:AA7">
    <cfRule type="cellIs" dxfId="16" priority="2" operator="lessThan">
      <formula>0</formula>
    </cfRule>
  </conditionalFormatting>
  <conditionalFormatting sqref="AI2">
    <cfRule type="cellIs" dxfId="15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DD09-C6D0-48EC-97C7-035FBF69BB82}">
  <dimension ref="A1:AM17"/>
  <sheetViews>
    <sheetView zoomScaleNormal="100" workbookViewId="0">
      <selection activeCell="U16" sqref="U16"/>
    </sheetView>
  </sheetViews>
  <sheetFormatPr defaultRowHeight="14.4" x14ac:dyDescent="0.3"/>
  <cols>
    <col min="6" max="6" width="8.88671875" hidden="1" customWidth="1"/>
    <col min="7" max="7" width="8.88671875" customWidth="1"/>
    <col min="8" max="8" width="8.88671875" hidden="1" customWidth="1"/>
    <col min="9" max="9" width="15.88671875" hidden="1" customWidth="1"/>
    <col min="10" max="10" width="9.44140625" bestFit="1" customWidth="1"/>
    <col min="12" max="12" width="0" hidden="1" customWidth="1"/>
    <col min="15" max="15" width="8.88671875" customWidth="1"/>
    <col min="16" max="16" width="9.6640625" bestFit="1" customWidth="1"/>
    <col min="17" max="17" width="8.88671875" hidden="1" customWidth="1"/>
    <col min="18" max="18" width="7.6640625" bestFit="1" customWidth="1"/>
    <col min="23" max="23" width="8.109375" bestFit="1" customWidth="1"/>
    <col min="24" max="24" width="10.33203125" bestFit="1" customWidth="1"/>
    <col min="25" max="25" width="12.109375" bestFit="1" customWidth="1"/>
    <col min="26" max="26" width="11.88671875" bestFit="1" customWidth="1"/>
    <col min="28" max="28" width="12.21875" bestFit="1" customWidth="1"/>
    <col min="30" max="30" width="11" bestFit="1" customWidth="1"/>
    <col min="31" max="31" width="10.109375" bestFit="1" customWidth="1"/>
    <col min="32" max="32" width="9.21875" bestFit="1" customWidth="1"/>
    <col min="34" max="34" width="11.33203125" bestFit="1" customWidth="1"/>
    <col min="35" max="35" width="12" bestFit="1" customWidth="1"/>
    <col min="36" max="36" width="13.77734375" bestFit="1" customWidth="1"/>
    <col min="37" max="37" width="10.33203125" bestFit="1" customWidth="1"/>
    <col min="38" max="38" width="9.21875" bestFit="1" customWidth="1"/>
    <col min="39" max="39" width="11.33203125" bestFit="1" customWidth="1"/>
  </cols>
  <sheetData>
    <row r="1" spans="1:39" s="3" customFormat="1" ht="28.8" x14ac:dyDescent="0.3">
      <c r="A1" s="1" t="s">
        <v>0</v>
      </c>
      <c r="B1" s="26" t="s">
        <v>37</v>
      </c>
      <c r="C1" s="2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26" t="s">
        <v>36</v>
      </c>
      <c r="I1" s="3" t="s">
        <v>6</v>
      </c>
      <c r="J1" s="1" t="s">
        <v>7</v>
      </c>
      <c r="K1" s="1" t="s">
        <v>6</v>
      </c>
      <c r="L1" s="25" t="s">
        <v>31</v>
      </c>
      <c r="M1" s="3" t="s">
        <v>8</v>
      </c>
      <c r="N1" s="3" t="s">
        <v>9</v>
      </c>
      <c r="O1" s="4" t="s">
        <v>54</v>
      </c>
      <c r="P1" s="4" t="s">
        <v>55</v>
      </c>
      <c r="Q1" s="4" t="s">
        <v>10</v>
      </c>
      <c r="R1" s="4" t="s">
        <v>11</v>
      </c>
      <c r="S1" s="5" t="s">
        <v>12</v>
      </c>
      <c r="T1" s="3" t="s">
        <v>13</v>
      </c>
      <c r="U1" s="1" t="s">
        <v>14</v>
      </c>
      <c r="V1" s="1" t="s">
        <v>15</v>
      </c>
      <c r="W1" s="3" t="s">
        <v>16</v>
      </c>
      <c r="X1" s="3" t="s">
        <v>17</v>
      </c>
      <c r="Y1" s="33" t="s">
        <v>38</v>
      </c>
      <c r="Z1" s="33" t="s">
        <v>47</v>
      </c>
      <c r="AA1" s="3" t="s">
        <v>42</v>
      </c>
      <c r="AB1" s="6"/>
      <c r="AC1" s="6" t="s">
        <v>32</v>
      </c>
      <c r="AD1" s="6" t="s">
        <v>18</v>
      </c>
      <c r="AE1" s="6" t="s">
        <v>19</v>
      </c>
      <c r="AF1" s="6" t="s">
        <v>20</v>
      </c>
      <c r="AG1" s="6" t="s">
        <v>21</v>
      </c>
      <c r="AH1" s="6" t="s">
        <v>22</v>
      </c>
      <c r="AI1" s="6" t="s">
        <v>16</v>
      </c>
      <c r="AJ1" s="6" t="s">
        <v>23</v>
      </c>
      <c r="AK1" s="3" t="s">
        <v>33</v>
      </c>
      <c r="AL1" s="3" t="s">
        <v>34</v>
      </c>
      <c r="AM1" s="3" t="s">
        <v>24</v>
      </c>
    </row>
    <row r="2" spans="1:39" s="7" customFormat="1" x14ac:dyDescent="0.3">
      <c r="A2" s="38" t="s">
        <v>60</v>
      </c>
      <c r="B2" s="38"/>
      <c r="C2" s="8">
        <f>RTD("tos.rtd",,C$1,UPPER(A2))</f>
        <v>477.55</v>
      </c>
      <c r="D2" s="8">
        <f>RTD("tos.rtd", , "52HIGH", A2)</f>
        <v>479</v>
      </c>
      <c r="E2" s="8">
        <f>RTD("tos.rtd", , "52LOW", A2)</f>
        <v>368.05</v>
      </c>
      <c r="F2" s="7" t="str">
        <f>RTD("tos.rtd", , "YIELD", A2)</f>
        <v>1.37%</v>
      </c>
      <c r="G2" s="38">
        <v>5</v>
      </c>
      <c r="H2" s="7" t="s">
        <v>26</v>
      </c>
      <c r="I2" s="7" t="str">
        <f>"."&amp;A2&amp;TEXT(J2,"YYMMDD")&amp;H2&amp;K2</f>
        <v>.SPY211217P460</v>
      </c>
      <c r="J2" s="37">
        <v>44547</v>
      </c>
      <c r="K2" s="38">
        <v>460</v>
      </c>
      <c r="L2" s="7">
        <f>RTD("tos.rtd", , "MARK",I2)</f>
        <v>7.4999999999999997E-2</v>
      </c>
      <c r="M2" s="7">
        <f>RTD("tos.rtd", , "BID",I2)</f>
        <v>7.0000000000000007E-2</v>
      </c>
      <c r="N2" s="7">
        <f>RTD("tos.rtd", , "ASK",I2)</f>
        <v>0.08</v>
      </c>
      <c r="O2" s="10">
        <f>U2/K2</f>
        <v>1.4565217391304349E-3</v>
      </c>
      <c r="P2" s="10">
        <f t="shared" ref="P2" ca="1" si="0">365/S2*O2</f>
        <v>-2.7980549199084669E-2</v>
      </c>
      <c r="Q2" s="10">
        <f t="shared" ref="Q2" si="1">(D2-C2)/C2</f>
        <v>3.0363312742121007E-3</v>
      </c>
      <c r="R2" s="10">
        <f t="shared" ref="R2" si="2">(E2-C2)/C2</f>
        <v>-0.22929536174222595</v>
      </c>
      <c r="S2" s="11">
        <f t="shared" ref="S2" ca="1" si="3">J2-TODAY()</f>
        <v>-19</v>
      </c>
      <c r="T2" s="7">
        <f>RTD("tos.rtd", , "DELTA", I2)</f>
        <v>-0.02</v>
      </c>
      <c r="U2" s="38">
        <v>0.67</v>
      </c>
      <c r="V2" s="38">
        <v>0.15</v>
      </c>
      <c r="W2" s="12">
        <f t="shared" ref="W2" si="4">IF(V2&lt;=0,(U2-L2)*G2,(U2-V2)*G2)</f>
        <v>2.6</v>
      </c>
      <c r="X2" s="10">
        <f t="shared" ref="X2" si="5">(W2/U2)/G2</f>
        <v>0.77611940298507465</v>
      </c>
      <c r="Y2" s="30">
        <f>(K2*100-U2*100)*G2</f>
        <v>229665</v>
      </c>
      <c r="Z2" s="30">
        <f>(Y2/100)/G2</f>
        <v>459.33000000000004</v>
      </c>
      <c r="AA2" s="10">
        <f>(C2-Z2)/C2</f>
        <v>3.8153072976651596E-2</v>
      </c>
      <c r="AB2" s="36"/>
      <c r="AC2" s="13">
        <f>COUNT(W2:W1000)</f>
        <v>8</v>
      </c>
      <c r="AD2" s="14">
        <f>COUNTIF(W2:W1000,"&lt;0")</f>
        <v>2</v>
      </c>
      <c r="AE2" s="14">
        <f>COUNTIF(W2:W1000,"&gt;0")</f>
        <v>6</v>
      </c>
      <c r="AF2" s="15">
        <f>AE2/AC2</f>
        <v>0.75</v>
      </c>
      <c r="AG2" s="34">
        <f>AVERAGEIF(W2:W1000,"&lt;0")*100*-1</f>
        <v>480.00000000000006</v>
      </c>
      <c r="AH2" s="16">
        <f>AVERAGEIF(W2:W1000,"&gt;0")*100</f>
        <v>417.74999999999994</v>
      </c>
      <c r="AI2" s="16">
        <f>SUM(W2:W1000)*100</f>
        <v>1546.5</v>
      </c>
      <c r="AJ2" s="17">
        <f>AVERAGE(X2:X1000)</f>
        <v>0.30695589020540348</v>
      </c>
      <c r="AK2" s="18">
        <f>SUMIF(W2:W288,"&gt;0")*100</f>
        <v>2506.5</v>
      </c>
      <c r="AL2" s="35">
        <f>SUMIF(W2:W288,"&lt;0")*-1*100</f>
        <v>960.00000000000011</v>
      </c>
      <c r="AM2" s="19">
        <f>AK2/AL2</f>
        <v>2.6109374999999999</v>
      </c>
    </row>
    <row r="3" spans="1:39" s="7" customFormat="1" x14ac:dyDescent="0.3">
      <c r="A3" s="38" t="s">
        <v>60</v>
      </c>
      <c r="B3" s="38"/>
      <c r="C3" s="8">
        <f>RTD("tos.rtd",,C$1,UPPER(A3))</f>
        <v>477.55</v>
      </c>
      <c r="D3" s="8">
        <f>RTD("tos.rtd", , "52HIGH", A3)</f>
        <v>479</v>
      </c>
      <c r="E3" s="8">
        <f>RTD("tos.rtd", , "52LOW", A3)</f>
        <v>368.05</v>
      </c>
      <c r="F3" s="7" t="str">
        <f>RTD("tos.rtd", , "YIELD", A3)</f>
        <v>1.37%</v>
      </c>
      <c r="G3" s="38">
        <v>3</v>
      </c>
      <c r="H3" s="7" t="s">
        <v>26</v>
      </c>
      <c r="I3" s="7" t="str">
        <f t="shared" ref="I3" si="6">"."&amp;A3&amp;TEXT(J3,"YYMMDD")&amp;H3&amp;K3</f>
        <v>.SPY211220P460</v>
      </c>
      <c r="J3" s="37">
        <v>44550</v>
      </c>
      <c r="K3" s="38">
        <v>460</v>
      </c>
      <c r="L3" s="7">
        <f>RTD("tos.rtd", , "MARK",I3)</f>
        <v>3.93</v>
      </c>
      <c r="M3" s="7">
        <f>RTD("tos.rtd", , "BID",I3)</f>
        <v>3.84</v>
      </c>
      <c r="N3" s="7">
        <f>RTD("tos.rtd", , "ASK",I3)</f>
        <v>4.0199999999999996</v>
      </c>
      <c r="O3" s="10">
        <f>U3/K3</f>
        <v>7.8260869565217397E-3</v>
      </c>
      <c r="P3" s="10">
        <f t="shared" ref="P3" ca="1" si="7">365/S3*O3</f>
        <v>-0.17853260869565218</v>
      </c>
      <c r="Q3" s="10">
        <f t="shared" ref="Q3" si="8">(D3-C3)/C3</f>
        <v>3.0363312742121007E-3</v>
      </c>
      <c r="R3" s="10">
        <f t="shared" ref="R3" si="9">(E3-C3)/C3</f>
        <v>-0.22929536174222595</v>
      </c>
      <c r="S3" s="11">
        <f t="shared" ref="S3" ca="1" si="10">J3-TODAY()</f>
        <v>-16</v>
      </c>
      <c r="T3" s="7">
        <f>RTD("tos.rtd", , "DELTA", I3)</f>
        <v>-0.25</v>
      </c>
      <c r="U3" s="38">
        <v>3.6</v>
      </c>
      <c r="V3" s="38">
        <v>3.9</v>
      </c>
      <c r="W3" s="12">
        <f t="shared" ref="W3" si="11">IF(V3&lt;=0,(U3-L3)*G3,(U3-V3)*G3)</f>
        <v>-0.89999999999999947</v>
      </c>
      <c r="X3" s="10">
        <f t="shared" ref="X3" si="12">(W3/U3)/G3</f>
        <v>-8.3333333333333273E-2</v>
      </c>
      <c r="Y3" s="30">
        <f>(K3*100-U3*100)*G3</f>
        <v>136920</v>
      </c>
      <c r="Z3" s="30">
        <f>(Y3/100)/G3</f>
        <v>456.40000000000003</v>
      </c>
      <c r="AA3" s="10">
        <f>(C3-Z3)/C3</f>
        <v>4.4288556172128526E-2</v>
      </c>
    </row>
    <row r="4" spans="1:39" s="7" customFormat="1" x14ac:dyDescent="0.3">
      <c r="A4" s="38" t="s">
        <v>60</v>
      </c>
      <c r="B4" s="38"/>
      <c r="C4" s="8">
        <f>RTD("tos.rtd",,C$1,UPPER(A4))</f>
        <v>477.55</v>
      </c>
      <c r="D4" s="8">
        <f>RTD("tos.rtd", , "52HIGH", A4)</f>
        <v>479</v>
      </c>
      <c r="E4" s="8">
        <f>RTD("tos.rtd", , "52LOW", A4)</f>
        <v>368.05</v>
      </c>
      <c r="F4" s="7" t="str">
        <f>RTD("tos.rtd", , "YIELD", A4)</f>
        <v>1.37%</v>
      </c>
      <c r="G4" s="38">
        <v>5</v>
      </c>
      <c r="H4" s="7" t="s">
        <v>26</v>
      </c>
      <c r="I4" s="7" t="str">
        <f t="shared" ref="I4:I9" si="13">"."&amp;A4&amp;TEXT(J4,"YYMMDD")&amp;H4&amp;K4</f>
        <v>.SPY211222P470</v>
      </c>
      <c r="J4" s="37">
        <v>44552</v>
      </c>
      <c r="K4" s="38">
        <v>470</v>
      </c>
      <c r="L4" s="7">
        <f>RTD("tos.rtd", , "MARK",I4)</f>
        <v>1.835</v>
      </c>
      <c r="M4" s="7">
        <f>RTD("tos.rtd", , "BID",I4)</f>
        <v>1.41</v>
      </c>
      <c r="N4" s="7">
        <f>RTD("tos.rtd", , "ASK",I4)</f>
        <v>2.2599999999999998</v>
      </c>
      <c r="O4" s="10">
        <f t="shared" ref="O4:O9" si="14">U4/K4</f>
        <v>4.2553191489361703E-3</v>
      </c>
      <c r="P4" s="10">
        <f t="shared" ref="P4:P9" ca="1" si="15">365/S4*O4</f>
        <v>-0.11094224924012158</v>
      </c>
      <c r="Q4" s="10">
        <f t="shared" ref="Q4:Q9" si="16">(D4-C4)/C4</f>
        <v>3.0363312742121007E-3</v>
      </c>
      <c r="R4" s="10">
        <f t="shared" ref="R4:R9" si="17">(E4-C4)/C4</f>
        <v>-0.22929536174222595</v>
      </c>
      <c r="S4" s="11">
        <f t="shared" ref="S4:S9" ca="1" si="18">J4-TODAY()</f>
        <v>-14</v>
      </c>
      <c r="T4" s="7">
        <f>RTD("tos.rtd", , "DELTA", I4)</f>
        <v>-0.27</v>
      </c>
      <c r="U4" s="38">
        <v>2</v>
      </c>
      <c r="V4" s="38">
        <v>1.6</v>
      </c>
      <c r="W4" s="12">
        <f t="shared" ref="W4:W9" si="19">IF(V4&lt;=0,(U4-L4)*G4,(U4-V4)*G4)</f>
        <v>1.9999999999999996</v>
      </c>
      <c r="X4" s="10">
        <f t="shared" ref="X4:X9" si="20">(W4/U4)/G4</f>
        <v>0.19999999999999996</v>
      </c>
      <c r="Y4" s="30">
        <f t="shared" ref="Y4:Y9" si="21">(K4*100-U4*100)*G4</f>
        <v>234000</v>
      </c>
      <c r="Z4" s="30">
        <f t="shared" ref="Z4:Z9" si="22">(Y4/100)/G4</f>
        <v>468</v>
      </c>
      <c r="AA4" s="10">
        <f t="shared" ref="AA4:AA9" si="23">(C4-Z4)/C4</f>
        <v>1.9997905978431599E-2</v>
      </c>
      <c r="AB4" s="29"/>
      <c r="AC4" s="1" t="s">
        <v>27</v>
      </c>
      <c r="AD4" s="3" t="s">
        <v>46</v>
      </c>
      <c r="AJ4" s="20"/>
    </row>
    <row r="5" spans="1:39" s="7" customFormat="1" x14ac:dyDescent="0.3">
      <c r="A5" s="38" t="s">
        <v>60</v>
      </c>
      <c r="B5" s="38"/>
      <c r="C5" s="8">
        <f>RTD("tos.rtd",,C$1,UPPER(A5))</f>
        <v>477.55</v>
      </c>
      <c r="D5" s="8">
        <f>RTD("tos.rtd", , "52HIGH", A5)</f>
        <v>479</v>
      </c>
      <c r="E5" s="8">
        <f>RTD("tos.rtd", , "52LOW", A5)</f>
        <v>368.05</v>
      </c>
      <c r="F5" s="7" t="str">
        <f>RTD("tos.rtd", , "YIELD", A5)</f>
        <v>1.37%</v>
      </c>
      <c r="G5" s="38">
        <v>2</v>
      </c>
      <c r="H5" s="7" t="s">
        <v>26</v>
      </c>
      <c r="I5" s="7" t="str">
        <f t="shared" si="13"/>
        <v>.SPY211223P460</v>
      </c>
      <c r="J5" s="37">
        <v>44553</v>
      </c>
      <c r="K5" s="38">
        <v>460</v>
      </c>
      <c r="L5" s="7">
        <f>RTD("tos.rtd", , "MARK",I5)</f>
        <v>5.0000000000000001E-3</v>
      </c>
      <c r="M5" s="7">
        <f>RTD("tos.rtd", , "BID",I5)</f>
        <v>0</v>
      </c>
      <c r="N5" s="7">
        <f>RTD("tos.rtd", , "ASK",I5)</f>
        <v>0.01</v>
      </c>
      <c r="O5" s="10">
        <f t="shared" si="14"/>
        <v>3.4782608695652175E-3</v>
      </c>
      <c r="P5" s="10">
        <f t="shared" ca="1" si="15"/>
        <v>-9.7658862876254179E-2</v>
      </c>
      <c r="Q5" s="10">
        <f t="shared" si="16"/>
        <v>3.0363312742121007E-3</v>
      </c>
      <c r="R5" s="10">
        <f t="shared" si="17"/>
        <v>-0.22929536174222595</v>
      </c>
      <c r="S5" s="11">
        <f t="shared" ca="1" si="18"/>
        <v>-13</v>
      </c>
      <c r="T5" s="7">
        <f>RTD("tos.rtd", , "DELTA", I5)</f>
        <v>0</v>
      </c>
      <c r="U5" s="38">
        <v>1.6</v>
      </c>
      <c r="V5" s="38">
        <v>0.2</v>
      </c>
      <c r="W5" s="12">
        <f t="shared" si="19"/>
        <v>2.8000000000000003</v>
      </c>
      <c r="X5" s="10">
        <f t="shared" si="20"/>
        <v>0.875</v>
      </c>
      <c r="Y5" s="30">
        <f t="shared" si="21"/>
        <v>91680</v>
      </c>
      <c r="Z5" s="30">
        <f t="shared" si="22"/>
        <v>458.4</v>
      </c>
      <c r="AA5" s="10">
        <f t="shared" si="23"/>
        <v>4.0100513035284335E-2</v>
      </c>
      <c r="AB5" s="30"/>
      <c r="AC5" s="52">
        <v>472</v>
      </c>
      <c r="AD5" s="21">
        <f>(AC5-(SUM(U2:U1000)-(SUM(V2:V1000))))</f>
        <v>467.78</v>
      </c>
    </row>
    <row r="6" spans="1:39" s="7" customFormat="1" x14ac:dyDescent="0.3">
      <c r="A6" s="38" t="s">
        <v>60</v>
      </c>
      <c r="B6" s="38"/>
      <c r="C6" s="8">
        <f>RTD("tos.rtd",,C$1,UPPER(A6))</f>
        <v>477.55</v>
      </c>
      <c r="D6" s="8">
        <f>RTD("tos.rtd", , "52HIGH", A6)</f>
        <v>479</v>
      </c>
      <c r="E6" s="8">
        <f>RTD("tos.rtd", , "52LOW", A6)</f>
        <v>368.05</v>
      </c>
      <c r="F6" s="7" t="str">
        <f>RTD("tos.rtd", , "YIELD", A6)</f>
        <v>1.37%</v>
      </c>
      <c r="G6" s="38">
        <v>3</v>
      </c>
      <c r="H6" s="7" t="s">
        <v>26</v>
      </c>
      <c r="I6" s="7" t="str">
        <f t="shared" si="13"/>
        <v>.SPY211223P475</v>
      </c>
      <c r="J6" s="37">
        <v>44553</v>
      </c>
      <c r="K6" s="38">
        <v>475</v>
      </c>
      <c r="L6" s="7">
        <f>RTD("tos.rtd", , "MARK",I6)</f>
        <v>4.2300000000000004</v>
      </c>
      <c r="M6" s="7">
        <f>RTD("tos.rtd", , "BID",I6)</f>
        <v>3.71</v>
      </c>
      <c r="N6" s="7">
        <f>RTD("tos.rtd", , "ASK",I6)</f>
        <v>4.75</v>
      </c>
      <c r="O6" s="10">
        <f t="shared" si="14"/>
        <v>2.7368421052631582E-3</v>
      </c>
      <c r="P6" s="10">
        <f t="shared" ca="1" si="15"/>
        <v>-7.6842105263157906E-2</v>
      </c>
      <c r="Q6" s="10">
        <f t="shared" si="16"/>
        <v>3.0363312742121007E-3</v>
      </c>
      <c r="R6" s="10">
        <f t="shared" si="17"/>
        <v>-0.22929536174222595</v>
      </c>
      <c r="S6" s="11">
        <f t="shared" ca="1" si="18"/>
        <v>-13</v>
      </c>
      <c r="T6" s="7">
        <f>RTD("tos.rtd", , "DELTA", I6)</f>
        <v>-0.44</v>
      </c>
      <c r="U6" s="38">
        <v>1.3</v>
      </c>
      <c r="V6" s="38">
        <v>4.2</v>
      </c>
      <c r="W6" s="12">
        <f t="shared" si="19"/>
        <v>-8.7000000000000011</v>
      </c>
      <c r="X6" s="10">
        <f t="shared" si="20"/>
        <v>-2.2307692307692308</v>
      </c>
      <c r="Y6" s="30">
        <f t="shared" si="21"/>
        <v>142110</v>
      </c>
      <c r="Z6" s="30">
        <f t="shared" si="22"/>
        <v>473.7</v>
      </c>
      <c r="AA6" s="10">
        <f t="shared" si="23"/>
        <v>8.0619830384253428E-3</v>
      </c>
    </row>
    <row r="7" spans="1:39" s="7" customFormat="1" x14ac:dyDescent="0.3">
      <c r="A7" s="38" t="s">
        <v>60</v>
      </c>
      <c r="B7" s="38"/>
      <c r="C7" s="8">
        <f>RTD("tos.rtd",,C$1,UPPER(A7))</f>
        <v>477.55</v>
      </c>
      <c r="D7" s="8">
        <f>RTD("tos.rtd", , "52HIGH", A7)</f>
        <v>479</v>
      </c>
      <c r="E7" s="8">
        <f>RTD("tos.rtd", , "52LOW", A7)</f>
        <v>368.05</v>
      </c>
      <c r="F7" s="7" t="str">
        <f>RTD("tos.rtd", , "YIELD", A7)</f>
        <v>1.37%</v>
      </c>
      <c r="G7" s="38">
        <v>2</v>
      </c>
      <c r="H7" s="7" t="s">
        <v>26</v>
      </c>
      <c r="I7" s="7" t="str">
        <f t="shared" si="13"/>
        <v>.SPY211227P470</v>
      </c>
      <c r="J7" s="37">
        <v>44557</v>
      </c>
      <c r="K7" s="38">
        <v>470</v>
      </c>
      <c r="L7" s="7">
        <f>RTD("tos.rtd", , "MARK",I7)</f>
        <v>5.0000000000000001E-3</v>
      </c>
      <c r="M7" s="7">
        <f>RTD("tos.rtd", , "BID",I7)</f>
        <v>0</v>
      </c>
      <c r="N7" s="7">
        <f>RTD("tos.rtd", , "ASK",I7)</f>
        <v>0.01</v>
      </c>
      <c r="O7" s="10">
        <f t="shared" si="14"/>
        <v>4.6808510638297876E-3</v>
      </c>
      <c r="P7" s="10">
        <f t="shared" ca="1" si="15"/>
        <v>-0.18983451536643028</v>
      </c>
      <c r="Q7" s="10">
        <f t="shared" si="16"/>
        <v>3.0363312742121007E-3</v>
      </c>
      <c r="R7" s="10">
        <f t="shared" si="17"/>
        <v>-0.22929536174222595</v>
      </c>
      <c r="S7" s="11">
        <f t="shared" ca="1" si="18"/>
        <v>-9</v>
      </c>
      <c r="T7" s="7">
        <f>RTD("tos.rtd", , "DELTA", I7)</f>
        <v>-0.01</v>
      </c>
      <c r="U7" s="38">
        <v>2.2000000000000002</v>
      </c>
      <c r="V7" s="38">
        <v>0</v>
      </c>
      <c r="W7" s="12">
        <f t="shared" si="19"/>
        <v>4.3900000000000006</v>
      </c>
      <c r="X7" s="10">
        <f t="shared" si="20"/>
        <v>0.9977272727272728</v>
      </c>
      <c r="Y7" s="30">
        <f t="shared" si="21"/>
        <v>93560</v>
      </c>
      <c r="Z7" s="30">
        <f t="shared" si="22"/>
        <v>467.8</v>
      </c>
      <c r="AA7" s="10">
        <f t="shared" si="23"/>
        <v>2.041671029211601E-2</v>
      </c>
      <c r="AC7" s="1" t="s">
        <v>27</v>
      </c>
      <c r="AD7" s="3" t="s">
        <v>46</v>
      </c>
      <c r="AE7" s="1" t="s">
        <v>72</v>
      </c>
      <c r="AF7" s="3" t="s">
        <v>71</v>
      </c>
    </row>
    <row r="8" spans="1:39" s="7" customFormat="1" x14ac:dyDescent="0.3">
      <c r="A8" s="38" t="s">
        <v>60</v>
      </c>
      <c r="B8" s="38"/>
      <c r="C8" s="8">
        <f>RTD("tos.rtd",,C$1,UPPER(A8))</f>
        <v>477.55</v>
      </c>
      <c r="D8" s="8">
        <f>RTD("tos.rtd", , "52HIGH", A8)</f>
        <v>479</v>
      </c>
      <c r="E8" s="8">
        <f>RTD("tos.rtd", , "52LOW", A8)</f>
        <v>368.05</v>
      </c>
      <c r="F8" s="7" t="str">
        <f>RTD("tos.rtd", , "YIELD", A8)</f>
        <v>1.37%</v>
      </c>
      <c r="G8" s="38">
        <v>3</v>
      </c>
      <c r="H8" s="7" t="s">
        <v>26</v>
      </c>
      <c r="I8" s="7" t="str">
        <f t="shared" si="13"/>
        <v>.SPY211229P470</v>
      </c>
      <c r="J8" s="37">
        <v>44559</v>
      </c>
      <c r="K8" s="38">
        <v>470</v>
      </c>
      <c r="L8" s="7">
        <f>RTD("tos.rtd", , "MARK",I8)</f>
        <v>5.0000000000000001E-3</v>
      </c>
      <c r="M8" s="7">
        <f>RTD("tos.rtd", , "BID",I8)</f>
        <v>0</v>
      </c>
      <c r="N8" s="7">
        <f>RTD("tos.rtd", , "ASK",I8)</f>
        <v>0.01</v>
      </c>
      <c r="O8" s="10">
        <f t="shared" si="14"/>
        <v>1.3829787234042553E-3</v>
      </c>
      <c r="P8" s="10">
        <f t="shared" ca="1" si="15"/>
        <v>-7.2112462006079028E-2</v>
      </c>
      <c r="Q8" s="10">
        <f t="shared" si="16"/>
        <v>3.0363312742121007E-3</v>
      </c>
      <c r="R8" s="10">
        <f t="shared" si="17"/>
        <v>-0.22929536174222595</v>
      </c>
      <c r="S8" s="11">
        <f t="shared" ca="1" si="18"/>
        <v>-7</v>
      </c>
      <c r="T8" s="7">
        <f>RTD("tos.rtd", , "DELTA", I8)</f>
        <v>-0.01</v>
      </c>
      <c r="U8" s="38">
        <v>0.65</v>
      </c>
      <c r="V8" s="38">
        <v>0.05</v>
      </c>
      <c r="W8" s="12">
        <f t="shared" si="19"/>
        <v>1.7999999999999998</v>
      </c>
      <c r="X8" s="10">
        <f t="shared" si="20"/>
        <v>0.92307692307692291</v>
      </c>
      <c r="Y8" s="30">
        <f t="shared" si="21"/>
        <v>140805</v>
      </c>
      <c r="Z8" s="30">
        <f t="shared" si="22"/>
        <v>469.34999999999997</v>
      </c>
      <c r="AA8" s="10">
        <f t="shared" si="23"/>
        <v>1.7170976861061765E-2</v>
      </c>
      <c r="AB8" s="29"/>
      <c r="AC8" s="52">
        <v>472</v>
      </c>
      <c r="AD8" s="21">
        <f>(AC8*AF8-(SUM(W2:W1003)))/AF8</f>
        <v>464.26749999999998</v>
      </c>
      <c r="AE8" s="38">
        <v>200</v>
      </c>
      <c r="AF8" s="39">
        <f>AE8/100</f>
        <v>2</v>
      </c>
    </row>
    <row r="9" spans="1:39" s="7" customFormat="1" x14ac:dyDescent="0.3">
      <c r="A9" s="38" t="s">
        <v>60</v>
      </c>
      <c r="B9" s="38"/>
      <c r="C9" s="8">
        <f>RTD("tos.rtd",,C$1,UPPER(A9))</f>
        <v>477.55</v>
      </c>
      <c r="D9" s="8">
        <f>RTD("tos.rtd", , "52HIGH", A9)</f>
        <v>479</v>
      </c>
      <c r="E9" s="8">
        <f>RTD("tos.rtd", , "52LOW", A9)</f>
        <v>368.05</v>
      </c>
      <c r="F9" s="7" t="str">
        <f>RTD("tos.rtd", , "YIELD", A9)</f>
        <v>1.37%</v>
      </c>
      <c r="G9" s="38">
        <v>5</v>
      </c>
      <c r="H9" s="7" t="s">
        <v>26</v>
      </c>
      <c r="I9" s="7" t="str">
        <f t="shared" si="13"/>
        <v>.SPY211231P472</v>
      </c>
      <c r="J9" s="37">
        <v>44561</v>
      </c>
      <c r="K9" s="38">
        <v>472</v>
      </c>
      <c r="L9" s="7">
        <f>RTD("tos.rtd", , "MARK",I9)</f>
        <v>5.0000000000000001E-3</v>
      </c>
      <c r="M9" s="7">
        <f>RTD("tos.rtd", , "BID",I9)</f>
        <v>0</v>
      </c>
      <c r="N9" s="7">
        <f>RTD("tos.rtd", , "ASK",I9)</f>
        <v>0.01</v>
      </c>
      <c r="O9" s="10">
        <f t="shared" si="14"/>
        <v>4.8728813559322029E-3</v>
      </c>
      <c r="P9" s="10">
        <f t="shared" ca="1" si="15"/>
        <v>-0.35572033898305083</v>
      </c>
      <c r="Q9" s="10">
        <f t="shared" si="16"/>
        <v>3.0363312742121007E-3</v>
      </c>
      <c r="R9" s="10">
        <f t="shared" si="17"/>
        <v>-0.22929536174222595</v>
      </c>
      <c r="S9" s="11">
        <f t="shared" ca="1" si="18"/>
        <v>-5</v>
      </c>
      <c r="T9" s="7">
        <f>RTD("tos.rtd", , "DELTA", I9)</f>
        <v>-0.01</v>
      </c>
      <c r="U9" s="38">
        <v>2.2999999999999998</v>
      </c>
      <c r="V9" s="38">
        <v>0</v>
      </c>
      <c r="W9" s="12">
        <f t="shared" si="19"/>
        <v>11.475</v>
      </c>
      <c r="X9" s="10">
        <f t="shared" si="20"/>
        <v>0.99782608695652186</v>
      </c>
      <c r="Y9" s="30">
        <f t="shared" si="21"/>
        <v>234850</v>
      </c>
      <c r="Z9" s="30">
        <f t="shared" si="22"/>
        <v>469.7</v>
      </c>
      <c r="AA9" s="10">
        <f t="shared" si="23"/>
        <v>1.6438069312113963E-2</v>
      </c>
      <c r="AB9" s="30"/>
      <c r="AC9" s="28"/>
      <c r="AD9" s="31"/>
    </row>
    <row r="10" spans="1:39" s="7" customFormat="1" x14ac:dyDescent="0.3">
      <c r="C10" s="8"/>
      <c r="D10" s="8"/>
      <c r="E10" s="8"/>
      <c r="J10" s="9"/>
      <c r="O10" s="10"/>
      <c r="P10" s="10"/>
      <c r="Q10" s="10"/>
      <c r="R10" s="10"/>
      <c r="S10" s="11"/>
      <c r="W10" s="12"/>
      <c r="X10" s="10"/>
      <c r="Z10" s="28"/>
      <c r="AA10" s="28"/>
      <c r="AB10" s="28"/>
      <c r="AC10" s="28"/>
      <c r="AD10" s="28"/>
    </row>
    <row r="11" spans="1:39" s="7" customFormat="1" x14ac:dyDescent="0.3">
      <c r="C11" s="8"/>
      <c r="D11" s="8"/>
      <c r="E11" s="8"/>
      <c r="J11" s="9"/>
      <c r="O11" s="10"/>
      <c r="P11" s="10"/>
      <c r="Q11" s="10"/>
      <c r="R11" s="10"/>
      <c r="S11" s="11"/>
      <c r="W11" s="12"/>
      <c r="X11" s="10"/>
      <c r="Z11" s="28"/>
      <c r="AA11" s="28"/>
      <c r="AB11" s="28"/>
      <c r="AC11" s="28"/>
      <c r="AD11" s="28"/>
    </row>
    <row r="12" spans="1:39" x14ac:dyDescent="0.3">
      <c r="W12" s="22"/>
      <c r="Z12" s="32"/>
      <c r="AA12" s="27"/>
      <c r="AB12" s="29"/>
      <c r="AC12" s="27"/>
      <c r="AD12" s="29"/>
    </row>
    <row r="13" spans="1:39" x14ac:dyDescent="0.3">
      <c r="W13" s="22"/>
      <c r="Z13" s="32"/>
      <c r="AA13" s="30"/>
      <c r="AB13" s="30"/>
      <c r="AC13" s="28"/>
      <c r="AD13" s="31"/>
    </row>
    <row r="14" spans="1:39" x14ac:dyDescent="0.3">
      <c r="W14" s="22"/>
      <c r="Z14" s="32"/>
      <c r="AA14" s="32"/>
    </row>
    <row r="15" spans="1:39" x14ac:dyDescent="0.3">
      <c r="W15" s="22"/>
    </row>
    <row r="16" spans="1:39" x14ac:dyDescent="0.3">
      <c r="W16" s="22"/>
    </row>
    <row r="17" spans="1:2" x14ac:dyDescent="0.3">
      <c r="A17" s="23"/>
      <c r="B17" s="23"/>
    </row>
  </sheetData>
  <conditionalFormatting sqref="R2:R11">
    <cfRule type="cellIs" dxfId="14" priority="9" operator="greaterThanOrEqual">
      <formula>0.12</formula>
    </cfRule>
  </conditionalFormatting>
  <conditionalFormatting sqref="X1:X1048576">
    <cfRule type="cellIs" dxfId="13" priority="8" operator="lessThan">
      <formula>0</formula>
    </cfRule>
  </conditionalFormatting>
  <conditionalFormatting sqref="A12:B197">
    <cfRule type="expression" dxfId="12" priority="7">
      <formula>$W12:$W211&lt;0</formula>
    </cfRule>
  </conditionalFormatting>
  <conditionalFormatting sqref="A2:B11">
    <cfRule type="expression" dxfId="11" priority="10">
      <formula>$W2:$W200&lt;0</formula>
    </cfRule>
  </conditionalFormatting>
  <conditionalFormatting sqref="AA2:AA9">
    <cfRule type="cellIs" dxfId="10" priority="4" operator="lessThan">
      <formula>0</formula>
    </cfRule>
  </conditionalFormatting>
  <conditionalFormatting sqref="AM2">
    <cfRule type="cellIs" dxfId="9" priority="2" operator="greaterThan">
      <formula>1</formula>
    </cfRule>
    <cfRule type="cellIs" dxfId="8" priority="3" operator="lessThan">
      <formula>1</formula>
    </cfRule>
  </conditionalFormatting>
  <conditionalFormatting sqref="AI2">
    <cfRule type="cellIs" dxfId="7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500A-4399-4BBF-B003-2F1842323B4B}">
  <dimension ref="A1:AM50"/>
  <sheetViews>
    <sheetView zoomScaleNormal="100" workbookViewId="0">
      <selection activeCell="AD17" sqref="AD17"/>
    </sheetView>
  </sheetViews>
  <sheetFormatPr defaultRowHeight="14.4" x14ac:dyDescent="0.3"/>
  <cols>
    <col min="6" max="6" width="8.88671875" hidden="1" customWidth="1"/>
    <col min="8" max="8" width="0" hidden="1" customWidth="1"/>
    <col min="9" max="9" width="15.88671875" hidden="1" customWidth="1"/>
    <col min="10" max="10" width="9.44140625" bestFit="1" customWidth="1"/>
    <col min="12" max="12" width="8.88671875" customWidth="1"/>
    <col min="15" max="16" width="8.88671875" customWidth="1"/>
    <col min="17" max="18" width="8.88671875" hidden="1" customWidth="1"/>
    <col min="23" max="23" width="8.109375" bestFit="1" customWidth="1"/>
    <col min="24" max="24" width="10.33203125" bestFit="1" customWidth="1"/>
    <col min="25" max="25" width="15" bestFit="1" customWidth="1"/>
    <col min="26" max="26" width="11" bestFit="1" customWidth="1"/>
    <col min="28" max="28" width="12.21875" bestFit="1" customWidth="1"/>
    <col min="30" max="30" width="11.6640625" bestFit="1" customWidth="1"/>
    <col min="31" max="31" width="10.109375" bestFit="1" customWidth="1"/>
    <col min="32" max="32" width="9.21875" bestFit="1" customWidth="1"/>
    <col min="33" max="33" width="10.109375" bestFit="1" customWidth="1"/>
    <col min="34" max="34" width="11.33203125" bestFit="1" customWidth="1"/>
    <col min="35" max="35" width="12" bestFit="1" customWidth="1"/>
    <col min="36" max="36" width="13.77734375" bestFit="1" customWidth="1"/>
    <col min="37" max="37" width="10.33203125" bestFit="1" customWidth="1"/>
    <col min="38" max="38" width="9.21875" bestFit="1" customWidth="1"/>
    <col min="39" max="39" width="11.33203125" bestFit="1" customWidth="1"/>
  </cols>
  <sheetData>
    <row r="1" spans="1:39" s="3" customFormat="1" ht="28.8" x14ac:dyDescent="0.3">
      <c r="A1" s="1" t="s">
        <v>0</v>
      </c>
      <c r="B1" s="26" t="s">
        <v>35</v>
      </c>
      <c r="C1" s="2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26" t="s">
        <v>36</v>
      </c>
      <c r="I1" s="3" t="s">
        <v>6</v>
      </c>
      <c r="J1" s="1" t="s">
        <v>7</v>
      </c>
      <c r="K1" s="1" t="s">
        <v>6</v>
      </c>
      <c r="L1" s="25" t="s">
        <v>31</v>
      </c>
      <c r="M1" s="3" t="s">
        <v>8</v>
      </c>
      <c r="N1" s="3" t="s">
        <v>9</v>
      </c>
      <c r="O1" s="4" t="s">
        <v>54</v>
      </c>
      <c r="P1" s="4" t="s">
        <v>55</v>
      </c>
      <c r="Q1" s="4" t="s">
        <v>10</v>
      </c>
      <c r="R1" s="4" t="s">
        <v>11</v>
      </c>
      <c r="S1" s="5" t="s">
        <v>12</v>
      </c>
      <c r="T1" s="3" t="s">
        <v>13</v>
      </c>
      <c r="U1" s="1" t="s">
        <v>14</v>
      </c>
      <c r="V1" s="1" t="s">
        <v>15</v>
      </c>
      <c r="W1" s="3" t="s">
        <v>16</v>
      </c>
      <c r="X1" s="3" t="s">
        <v>17</v>
      </c>
      <c r="Y1" s="33" t="s">
        <v>38</v>
      </c>
      <c r="Z1" s="33" t="s">
        <v>47</v>
      </c>
      <c r="AA1" s="3" t="s">
        <v>42</v>
      </c>
      <c r="AB1" s="6"/>
      <c r="AC1" s="6" t="s">
        <v>32</v>
      </c>
      <c r="AD1" s="6" t="s">
        <v>18</v>
      </c>
      <c r="AE1" s="6" t="s">
        <v>19</v>
      </c>
      <c r="AF1" s="6" t="s">
        <v>20</v>
      </c>
      <c r="AG1" s="6" t="s">
        <v>21</v>
      </c>
      <c r="AH1" s="6" t="s">
        <v>22</v>
      </c>
      <c r="AI1" s="6" t="s">
        <v>16</v>
      </c>
      <c r="AJ1" s="6" t="s">
        <v>23</v>
      </c>
      <c r="AK1" s="3" t="s">
        <v>33</v>
      </c>
      <c r="AL1" s="3" t="s">
        <v>34</v>
      </c>
      <c r="AM1" s="3" t="s">
        <v>24</v>
      </c>
    </row>
    <row r="2" spans="1:39" s="7" customFormat="1" x14ac:dyDescent="0.3">
      <c r="A2" s="38" t="s">
        <v>50</v>
      </c>
      <c r="B2" s="37">
        <v>44560</v>
      </c>
      <c r="C2" s="8">
        <f>RTD("tos.rtd",,C$1,UPPER(A2))</f>
        <v>22.47</v>
      </c>
      <c r="D2" s="8">
        <f>RTD("tos.rtd", , "52HIGH", A2)</f>
        <v>34.484999999999999</v>
      </c>
      <c r="E2" s="8">
        <f>RTD("tos.rtd", , "52LOW", A2)</f>
        <v>17.78</v>
      </c>
      <c r="F2" s="7" t="str">
        <f>RTD("tos.rtd", , "YIELD", A2)</f>
        <v>N/A</v>
      </c>
      <c r="G2" s="38">
        <v>1</v>
      </c>
      <c r="H2" s="7" t="s">
        <v>26</v>
      </c>
      <c r="I2" s="7" t="str">
        <f t="shared" ref="I2:I5" si="0">"."&amp;A2&amp;TEXT(J2,"YYMMDD")&amp;H2&amp;K2</f>
        <v>.NCLH220107P18</v>
      </c>
      <c r="J2" s="37">
        <v>44568</v>
      </c>
      <c r="K2" s="38">
        <v>18</v>
      </c>
      <c r="L2" s="7">
        <f>RTD("tos.rtd", , "MARK",I2)</f>
        <v>1.4999999999999999E-2</v>
      </c>
      <c r="M2" s="7">
        <f>RTD("tos.rtd", , "BID",I2)</f>
        <v>0.01</v>
      </c>
      <c r="N2" s="7">
        <f>RTD("tos.rtd", , "ASK",I2)</f>
        <v>0.02</v>
      </c>
      <c r="O2" s="10">
        <f>U2/K2</f>
        <v>6.6666666666666662E-3</v>
      </c>
      <c r="P2" s="10">
        <f t="shared" ref="P2:P5" ca="1" si="1">365/S2*O2</f>
        <v>1.2166666666666666</v>
      </c>
      <c r="Q2" s="10">
        <f t="shared" ref="Q2:Q5" si="2">(D2-C2)/C2</f>
        <v>0.53471295060080115</v>
      </c>
      <c r="R2" s="10">
        <f t="shared" ref="R2:R5" si="3">(E2-C2)/C2</f>
        <v>-0.20872274143302172</v>
      </c>
      <c r="S2" s="11">
        <f t="shared" ref="S2:S5" ca="1" si="4">J2-TODAY()</f>
        <v>2</v>
      </c>
      <c r="T2" s="7">
        <f>RTD("tos.rtd", , "DELTA", I2)</f>
        <v>-0.02</v>
      </c>
      <c r="U2" s="38">
        <v>0.12</v>
      </c>
      <c r="V2" s="38"/>
      <c r="W2" s="12">
        <f t="shared" ref="W2:W5" si="5">IF(V2&lt;=0,(U2-L2)*G2,(U2-V2)*G2)</f>
        <v>0.105</v>
      </c>
      <c r="X2" s="10">
        <f t="shared" ref="X2:X5" si="6">(W2/U2)/G2</f>
        <v>0.875</v>
      </c>
      <c r="Y2" s="30">
        <f>(K2*100-U2*100)*G2</f>
        <v>1788</v>
      </c>
      <c r="Z2" s="30">
        <f>(Y2/100)/G2</f>
        <v>17.88</v>
      </c>
      <c r="AA2" s="10">
        <f>(C2-Z2)/C2</f>
        <v>0.20427236315086783</v>
      </c>
      <c r="AB2" s="36"/>
      <c r="AC2" s="13">
        <f>COUNT(W2:W1000)</f>
        <v>9</v>
      </c>
      <c r="AD2" s="14">
        <f>COUNTIF(W2:W1000,"&lt;0")</f>
        <v>5</v>
      </c>
      <c r="AE2" s="14">
        <f>COUNTIF(W2:W1000,"&gt;0")</f>
        <v>4</v>
      </c>
      <c r="AF2" s="15">
        <f>AE2/AC2</f>
        <v>0.44444444444444442</v>
      </c>
      <c r="AG2" s="34">
        <f>AVERAGEIF(W2:W1000,"&lt;0")*100*-1</f>
        <v>119.8</v>
      </c>
      <c r="AH2" s="16">
        <f>AVERAGEIF(W2:W1000,"&gt;0")*100</f>
        <v>11</v>
      </c>
      <c r="AI2" s="16">
        <f>SUM(W2:W1000)*100</f>
        <v>-555</v>
      </c>
      <c r="AJ2" s="17">
        <f>AVERAGE(X2:X1000)</f>
        <v>-0.41752529681273942</v>
      </c>
      <c r="AK2" s="18">
        <f>SUMIF(W2:W288,"&gt;0")*100</f>
        <v>44</v>
      </c>
      <c r="AL2" s="35">
        <f>SUMIF(W2:W288,"&lt;0")*-1*100</f>
        <v>599</v>
      </c>
      <c r="AM2" s="19">
        <f>AK2/AL2</f>
        <v>7.3455759599332218E-2</v>
      </c>
    </row>
    <row r="3" spans="1:39" s="7" customFormat="1" x14ac:dyDescent="0.3">
      <c r="A3" s="43" t="s">
        <v>51</v>
      </c>
      <c r="B3" s="44">
        <v>44560</v>
      </c>
      <c r="C3" s="8">
        <f>RTD("tos.rtd",,C$1,UPPER(A3))</f>
        <v>29.46</v>
      </c>
      <c r="D3" s="8">
        <f>RTD("tos.rtd", , "52HIGH", A3)</f>
        <v>31.14</v>
      </c>
      <c r="E3" s="8">
        <f>RTD("tos.rtd", , "52LOW", A3)</f>
        <v>14.03</v>
      </c>
      <c r="F3" s="7" t="str">
        <f>RTD("tos.rtd", , "YIELD", A3)</f>
        <v>1.70%</v>
      </c>
      <c r="G3" s="38">
        <v>1</v>
      </c>
      <c r="H3" s="7" t="s">
        <v>26</v>
      </c>
      <c r="I3" s="7" t="str">
        <f t="shared" si="0"/>
        <v>.APA220107P25</v>
      </c>
      <c r="J3" s="37">
        <v>44568</v>
      </c>
      <c r="K3" s="38">
        <v>25</v>
      </c>
      <c r="L3" s="7">
        <f>RTD("tos.rtd", , "MARK",I3)</f>
        <v>0.01</v>
      </c>
      <c r="M3" s="7">
        <f>RTD("tos.rtd", , "BID",I3)</f>
        <v>0</v>
      </c>
      <c r="N3" s="7">
        <f>RTD("tos.rtd", , "ASK",I3)</f>
        <v>0.02</v>
      </c>
      <c r="O3" s="10">
        <f t="shared" ref="O3:O5" si="7">U3/K3</f>
        <v>5.6000000000000008E-3</v>
      </c>
      <c r="P3" s="10">
        <f t="shared" ca="1" si="1"/>
        <v>1.0220000000000002</v>
      </c>
      <c r="Q3" s="10">
        <f t="shared" si="2"/>
        <v>5.7026476578411395E-2</v>
      </c>
      <c r="R3" s="10">
        <f t="shared" si="3"/>
        <v>-0.52376103190767143</v>
      </c>
      <c r="S3" s="11">
        <f t="shared" ca="1" si="4"/>
        <v>2</v>
      </c>
      <c r="T3" s="7">
        <f>RTD("tos.rtd", , "DELTA", I3)</f>
        <v>-0.01</v>
      </c>
      <c r="U3" s="38">
        <v>0.14000000000000001</v>
      </c>
      <c r="V3" s="38"/>
      <c r="W3" s="12">
        <f t="shared" si="5"/>
        <v>0.13</v>
      </c>
      <c r="X3" s="10">
        <f t="shared" si="6"/>
        <v>0.92857142857142849</v>
      </c>
      <c r="Y3" s="30">
        <f t="shared" ref="Y3:Y5" si="8">(K3*100-U3*100)*G3</f>
        <v>2486</v>
      </c>
      <c r="Z3" s="30">
        <f t="shared" ref="Z3:Z5" si="9">(Y3/100)/G3</f>
        <v>24.86</v>
      </c>
      <c r="AA3" s="10">
        <f>(C3-Z3)/C3</f>
        <v>0.15614392396469795</v>
      </c>
    </row>
    <row r="4" spans="1:39" s="7" customFormat="1" x14ac:dyDescent="0.3">
      <c r="A4" s="38" t="s">
        <v>52</v>
      </c>
      <c r="B4" s="37">
        <v>44561</v>
      </c>
      <c r="C4" s="8">
        <f>RTD("tos.rtd",,C$1,UPPER(A4))</f>
        <v>95.15</v>
      </c>
      <c r="D4" s="8">
        <f>RTD("tos.rtd", , "52HIGH", A4)</f>
        <v>141.59989999999999</v>
      </c>
      <c r="E4" s="8">
        <f>RTD("tos.rtd", , "52LOW", A4)</f>
        <v>60.5</v>
      </c>
      <c r="F4" s="7" t="str">
        <f>RTD("tos.rtd", , "YIELD", A4)</f>
        <v>N/A</v>
      </c>
      <c r="G4" s="38">
        <v>1</v>
      </c>
      <c r="H4" s="7" t="s">
        <v>26</v>
      </c>
      <c r="I4" s="7" t="str">
        <f t="shared" si="0"/>
        <v>.RBLX220107P92</v>
      </c>
      <c r="J4" s="37">
        <v>44568</v>
      </c>
      <c r="K4" s="38">
        <v>92</v>
      </c>
      <c r="L4" s="7">
        <f>RTD("tos.rtd", , "MARK",I4)</f>
        <v>1.425</v>
      </c>
      <c r="M4" s="7">
        <f>RTD("tos.rtd", , "BID",I4)</f>
        <v>1.37</v>
      </c>
      <c r="N4" s="7">
        <f>RTD("tos.rtd", , "ASK",I4)</f>
        <v>1.48</v>
      </c>
      <c r="O4" s="10">
        <f t="shared" si="7"/>
        <v>6.4130434782608695E-3</v>
      </c>
      <c r="P4" s="10">
        <f t="shared" ca="1" si="1"/>
        <v>1.1703804347826088</v>
      </c>
      <c r="Q4" s="10">
        <f t="shared" si="2"/>
        <v>0.48817551234892259</v>
      </c>
      <c r="R4" s="10">
        <f t="shared" si="3"/>
        <v>-0.3641618497109827</v>
      </c>
      <c r="S4" s="11">
        <f t="shared" ca="1" si="4"/>
        <v>2</v>
      </c>
      <c r="T4" s="7">
        <f>RTD("tos.rtd", , "DELTA", I4)</f>
        <v>-0.32</v>
      </c>
      <c r="U4" s="38">
        <v>0.59</v>
      </c>
      <c r="V4" s="38"/>
      <c r="W4" s="12">
        <f t="shared" si="5"/>
        <v>-0.83500000000000008</v>
      </c>
      <c r="X4" s="10">
        <f t="shared" si="6"/>
        <v>-1.4152542372881358</v>
      </c>
      <c r="Y4" s="30">
        <f t="shared" si="8"/>
        <v>9141</v>
      </c>
      <c r="Z4" s="30">
        <f t="shared" si="9"/>
        <v>91.41</v>
      </c>
      <c r="AA4" s="10">
        <f t="shared" ref="AA4:AA5" si="10">(C4-Z4)/C4</f>
        <v>3.9306358381502982E-2</v>
      </c>
      <c r="AB4" s="29"/>
      <c r="AC4" s="27"/>
      <c r="AD4" s="29"/>
      <c r="AJ4" s="20"/>
    </row>
    <row r="5" spans="1:39" s="7" customFormat="1" x14ac:dyDescent="0.3">
      <c r="A5" s="38" t="s">
        <v>53</v>
      </c>
      <c r="B5" s="37">
        <v>44561</v>
      </c>
      <c r="C5" s="8">
        <f>RTD("tos.rtd",,C$1,UPPER(A5))</f>
        <v>25.49</v>
      </c>
      <c r="D5" s="8">
        <f>RTD("tos.rtd", , "52HIGH", A5)</f>
        <v>72.62</v>
      </c>
      <c r="E5" s="8">
        <f>RTD("tos.rtd", , "52LOW", A5)</f>
        <v>1.91</v>
      </c>
      <c r="F5" s="7" t="str">
        <f>RTD("tos.rtd", , "YIELD", A5)</f>
        <v>N/A</v>
      </c>
      <c r="G5" s="38">
        <v>1</v>
      </c>
      <c r="H5" s="7" t="s">
        <v>26</v>
      </c>
      <c r="I5" s="7" t="str">
        <f t="shared" si="0"/>
        <v>.AMC220107P22</v>
      </c>
      <c r="J5" s="37">
        <v>44568</v>
      </c>
      <c r="K5" s="38">
        <v>22</v>
      </c>
      <c r="L5" s="7">
        <f>RTD("tos.rtd", , "MARK",I5)</f>
        <v>0.14499999999999999</v>
      </c>
      <c r="M5" s="7">
        <f>RTD("tos.rtd", , "BID",I5)</f>
        <v>0.14000000000000001</v>
      </c>
      <c r="N5" s="7">
        <f>RTD("tos.rtd", , "ASK",I5)</f>
        <v>0.15</v>
      </c>
      <c r="O5" s="10">
        <f t="shared" si="7"/>
        <v>5.4545454545454541E-3</v>
      </c>
      <c r="P5" s="10">
        <f t="shared" ca="1" si="1"/>
        <v>0.99545454545454537</v>
      </c>
      <c r="Q5" s="10">
        <f t="shared" si="2"/>
        <v>1.8489603766182823</v>
      </c>
      <c r="R5" s="10">
        <f t="shared" si="3"/>
        <v>-0.92506865437426444</v>
      </c>
      <c r="S5" s="11">
        <f t="shared" ca="1" si="4"/>
        <v>2</v>
      </c>
      <c r="T5" s="7">
        <f>RTD("tos.rtd", , "DELTA", I5)</f>
        <v>-0.1</v>
      </c>
      <c r="U5" s="38">
        <v>0.12</v>
      </c>
      <c r="V5" s="38"/>
      <c r="W5" s="12">
        <f t="shared" si="5"/>
        <v>-2.4999999999999994E-2</v>
      </c>
      <c r="X5" s="10">
        <f t="shared" si="6"/>
        <v>-0.20833333333333329</v>
      </c>
      <c r="Y5" s="30">
        <f t="shared" si="8"/>
        <v>2188</v>
      </c>
      <c r="Z5" s="30">
        <f t="shared" si="9"/>
        <v>21.88</v>
      </c>
      <c r="AA5" s="10">
        <f t="shared" si="10"/>
        <v>0.14162416633974106</v>
      </c>
      <c r="AB5" s="30"/>
      <c r="AC5" s="28"/>
      <c r="AD5" s="31"/>
    </row>
    <row r="6" spans="1:39" s="7" customFormat="1" x14ac:dyDescent="0.3">
      <c r="A6" s="38" t="s">
        <v>56</v>
      </c>
      <c r="B6" s="37">
        <v>44564</v>
      </c>
      <c r="C6" s="8">
        <f>RTD("tos.rtd",,C$1,UPPER(A6))</f>
        <v>189.19</v>
      </c>
      <c r="D6" s="8">
        <f>RTD("tos.rtd", , "52HIGH", A6)</f>
        <v>298.48</v>
      </c>
      <c r="E6" s="8">
        <f>RTD("tos.rtd", , "52LOW", A6)</f>
        <v>168.67</v>
      </c>
      <c r="F6" s="7" t="str">
        <f>RTD("tos.rtd", , "YIELD", A6)</f>
        <v>N/A</v>
      </c>
      <c r="G6" s="38">
        <v>1</v>
      </c>
      <c r="H6" s="7" t="s">
        <v>26</v>
      </c>
      <c r="I6" s="7" t="str">
        <f t="shared" ref="I6:I7" si="11">"."&amp;A6&amp;TEXT(J6,"YYMMDD")&amp;H6&amp;K6</f>
        <v>.CRWD220107P182.5</v>
      </c>
      <c r="J6" s="37">
        <v>44568</v>
      </c>
      <c r="K6" s="38">
        <v>182.5</v>
      </c>
      <c r="L6" s="7">
        <f>RTD("tos.rtd", , "MARK",I6)</f>
        <v>1.51</v>
      </c>
      <c r="M6" s="7">
        <f>RTD("tos.rtd", , "BID",I6)</f>
        <v>1.36</v>
      </c>
      <c r="N6" s="7">
        <f>RTD("tos.rtd", , "ASK",I6)</f>
        <v>1.66</v>
      </c>
      <c r="O6" s="10">
        <f t="shared" ref="O6:O7" si="12">U6/K6</f>
        <v>4.4931506849315069E-3</v>
      </c>
      <c r="P6" s="10">
        <f t="shared" ref="P6:P7" ca="1" si="13">365/S6*O6</f>
        <v>0.82000000000000006</v>
      </c>
      <c r="Q6" s="10">
        <f t="shared" ref="Q6:Q7" si="14">(D6-C6)/C6</f>
        <v>0.57767323854326347</v>
      </c>
      <c r="R6" s="10">
        <f t="shared" ref="R6:R7" si="15">(E6-C6)/C6</f>
        <v>-0.10846239230403304</v>
      </c>
      <c r="S6" s="11">
        <f t="shared" ref="S6:S7" ca="1" si="16">J6-TODAY()</f>
        <v>2</v>
      </c>
      <c r="T6" s="7">
        <f>RTD("tos.rtd", , "DELTA", I6)</f>
        <v>-0.26</v>
      </c>
      <c r="U6" s="38">
        <v>0.82</v>
      </c>
      <c r="V6" s="38"/>
      <c r="W6" s="12">
        <f t="shared" ref="W6:W7" si="17">IF(V6&lt;=0,(U6-L6)*G6,(U6-V6)*G6)</f>
        <v>-0.69000000000000006</v>
      </c>
      <c r="X6" s="10">
        <f t="shared" ref="X6:X7" si="18">(W6/U6)/G6</f>
        <v>-0.84146341463414642</v>
      </c>
      <c r="Y6" s="30">
        <f t="shared" ref="Y6:Y7" si="19">(K6*100-U6*100)*G6</f>
        <v>18168</v>
      </c>
      <c r="Z6" s="30">
        <f t="shared" ref="Z6:Z7" si="20">(Y6/100)/G6</f>
        <v>181.68</v>
      </c>
      <c r="AA6" s="10">
        <f t="shared" ref="AA6:AA7" si="21">(C6-Z6)/C6</f>
        <v>3.9695544161953547E-2</v>
      </c>
      <c r="AB6" s="30"/>
      <c r="AC6" s="28"/>
      <c r="AD6" s="31"/>
    </row>
    <row r="7" spans="1:39" s="7" customFormat="1" x14ac:dyDescent="0.3">
      <c r="A7" s="38" t="s">
        <v>57</v>
      </c>
      <c r="B7" s="37">
        <v>44564</v>
      </c>
      <c r="C7" s="8">
        <f>RTD("tos.rtd",,C$1,UPPER(A7))</f>
        <v>535.28</v>
      </c>
      <c r="D7" s="8">
        <f>RTD("tos.rtd", , "52HIGH", A7)</f>
        <v>567.57000000000005</v>
      </c>
      <c r="E7" s="8">
        <f>RTD("tos.rtd", , "52LOW", A7)</f>
        <v>319.70999999999998</v>
      </c>
      <c r="F7" s="7" t="str">
        <f>RTD("tos.rtd", , "YIELD", A7)</f>
        <v>0.70%</v>
      </c>
      <c r="G7" s="38">
        <v>1</v>
      </c>
      <c r="H7" s="7" t="s">
        <v>26</v>
      </c>
      <c r="I7" s="7" t="str">
        <f t="shared" si="11"/>
        <v>.DPZ220107P530</v>
      </c>
      <c r="J7" s="37">
        <v>44568</v>
      </c>
      <c r="K7" s="38">
        <v>530</v>
      </c>
      <c r="L7" s="7">
        <f>RTD("tos.rtd", , "MARK",I7)</f>
        <v>3.55</v>
      </c>
      <c r="M7" s="7">
        <f>RTD("tos.rtd", , "BID",I7)</f>
        <v>3.2</v>
      </c>
      <c r="N7" s="7">
        <f>RTD("tos.rtd", , "ASK",I7)</f>
        <v>3.9</v>
      </c>
      <c r="O7" s="10">
        <f t="shared" si="12"/>
        <v>3.6792452830188677E-3</v>
      </c>
      <c r="P7" s="10">
        <f t="shared" ca="1" si="13"/>
        <v>0.67146226415094334</v>
      </c>
      <c r="Q7" s="10">
        <f t="shared" si="14"/>
        <v>6.0323568973247796E-2</v>
      </c>
      <c r="R7" s="10">
        <f t="shared" si="15"/>
        <v>-0.4027238081004334</v>
      </c>
      <c r="S7" s="11">
        <f t="shared" ca="1" si="16"/>
        <v>2</v>
      </c>
      <c r="T7" s="7">
        <f>RTD("tos.rtd", , "DELTA", I7)</f>
        <v>-0.35</v>
      </c>
      <c r="U7" s="38">
        <v>1.95</v>
      </c>
      <c r="V7" s="38"/>
      <c r="W7" s="12">
        <f t="shared" si="17"/>
        <v>-1.5999999999999999</v>
      </c>
      <c r="X7" s="10">
        <f t="shared" si="18"/>
        <v>-0.82051282051282048</v>
      </c>
      <c r="Y7" s="30">
        <f t="shared" si="19"/>
        <v>52805</v>
      </c>
      <c r="Z7" s="30">
        <f t="shared" si="20"/>
        <v>528.04999999999995</v>
      </c>
      <c r="AA7" s="10">
        <f t="shared" si="21"/>
        <v>1.3506949633836531E-2</v>
      </c>
      <c r="AB7" s="30"/>
      <c r="AC7" s="28"/>
      <c r="AD7" s="31"/>
    </row>
    <row r="8" spans="1:39" s="7" customFormat="1" x14ac:dyDescent="0.3">
      <c r="A8" s="38" t="s">
        <v>61</v>
      </c>
      <c r="B8" s="37">
        <v>44564</v>
      </c>
      <c r="C8" s="8">
        <f>RTD("tos.rtd",,C$1,UPPER(A8))</f>
        <v>200.99</v>
      </c>
      <c r="D8" s="8">
        <f>RTD("tos.rtd", , "52HIGH", A8)</f>
        <v>307.75</v>
      </c>
      <c r="E8" s="8">
        <f>RTD("tos.rtd", , "52LOW", A8)</f>
        <v>153.80000000000001</v>
      </c>
      <c r="F8" s="7" t="str">
        <f>RTD("tos.rtd", , "YIELD", A8)</f>
        <v>N/A</v>
      </c>
      <c r="G8" s="38">
        <v>1</v>
      </c>
      <c r="H8" s="7" t="s">
        <v>26</v>
      </c>
      <c r="I8" s="7" t="str">
        <f t="shared" ref="I8" si="22">"."&amp;A8&amp;TEXT(J8,"YYMMDD")&amp;H8&amp;K8</f>
        <v>.ETSY220107P200</v>
      </c>
      <c r="J8" s="37">
        <v>44568</v>
      </c>
      <c r="K8" s="38">
        <v>200</v>
      </c>
      <c r="L8" s="7">
        <f>RTD("tos.rtd", , "MARK",I8)</f>
        <v>3.8</v>
      </c>
      <c r="M8" s="7">
        <f>RTD("tos.rtd", , "BID",I8)</f>
        <v>3.55</v>
      </c>
      <c r="N8" s="7">
        <f>RTD("tos.rtd", , "ASK",I8)</f>
        <v>4.05</v>
      </c>
      <c r="O8" s="10">
        <f t="shared" ref="O8" si="23">U8/K8</f>
        <v>4.7999999999999996E-3</v>
      </c>
      <c r="P8" s="10">
        <f t="shared" ref="P8" ca="1" si="24">365/S8*O8</f>
        <v>0.87599999999999989</v>
      </c>
      <c r="Q8" s="10">
        <f t="shared" ref="Q8" si="25">(D8-C8)/C8</f>
        <v>0.53117070501019947</v>
      </c>
      <c r="R8" s="10">
        <f t="shared" ref="R8" si="26">(E8-C8)/C8</f>
        <v>-0.23478780038807898</v>
      </c>
      <c r="S8" s="11">
        <f t="shared" ref="S8" ca="1" si="27">J8-TODAY()</f>
        <v>2</v>
      </c>
      <c r="T8" s="7">
        <f>RTD("tos.rtd", , "DELTA", I8)</f>
        <v>-0.47</v>
      </c>
      <c r="U8" s="38">
        <v>0.96</v>
      </c>
      <c r="V8" s="38"/>
      <c r="W8" s="12">
        <f t="shared" ref="W8" si="28">IF(V8&lt;=0,(U8-L8)*G8,(U8-V8)*G8)</f>
        <v>-2.84</v>
      </c>
      <c r="X8" s="10">
        <f t="shared" ref="X8" si="29">(W8/U8)/G8</f>
        <v>-2.9583333333333335</v>
      </c>
      <c r="Y8" s="30">
        <f t="shared" ref="Y8" si="30">(K8*100-U8*100)*G8</f>
        <v>19904</v>
      </c>
      <c r="Z8" s="30">
        <f t="shared" ref="Z8" si="31">(Y8/100)/G8</f>
        <v>199.04</v>
      </c>
      <c r="AA8" s="10">
        <f t="shared" ref="AA8" si="32">(C8-Z8)/C8</f>
        <v>9.701975222647978E-3</v>
      </c>
      <c r="AB8" s="29"/>
      <c r="AC8" s="40"/>
      <c r="AD8" s="41"/>
      <c r="AE8" s="28"/>
    </row>
    <row r="9" spans="1:39" s="7" customFormat="1" x14ac:dyDescent="0.3">
      <c r="A9" s="38" t="s">
        <v>69</v>
      </c>
      <c r="B9" s="37">
        <v>44565</v>
      </c>
      <c r="C9" s="8">
        <f>RTD("tos.rtd",,C$1,UPPER(A9))</f>
        <v>54.4</v>
      </c>
      <c r="D9" s="8">
        <f>RTD("tos.rtd", , "52HIGH", A9)</f>
        <v>120</v>
      </c>
      <c r="E9" s="8">
        <f>RTD("tos.rtd", , "52LOW", A9)</f>
        <v>50.05</v>
      </c>
      <c r="F9" s="7" t="str">
        <f>RTD("tos.rtd", , "YIELD", A9)</f>
        <v>N/A</v>
      </c>
      <c r="G9" s="38">
        <v>1</v>
      </c>
      <c r="H9" s="7" t="s">
        <v>26</v>
      </c>
      <c r="I9" s="7" t="str">
        <f t="shared" ref="I9:I10" si="33">"."&amp;A9&amp;TEXT(J9,"YYMMDD")&amp;H9&amp;K9</f>
        <v>.CHWY220107P50</v>
      </c>
      <c r="J9" s="37">
        <v>44568</v>
      </c>
      <c r="K9" s="38">
        <v>50</v>
      </c>
      <c r="L9" s="7">
        <f>RTD("tos.rtd", , "MARK",I9)</f>
        <v>0.17499999999999999</v>
      </c>
      <c r="M9" s="7">
        <f>RTD("tos.rtd", , "BID",I9)</f>
        <v>0.16</v>
      </c>
      <c r="N9" s="7">
        <f>RTD("tos.rtd", , "ASK",I9)</f>
        <v>0.19</v>
      </c>
      <c r="O9" s="10">
        <f t="shared" ref="O9:O10" si="34">U9/K9</f>
        <v>4.7999999999999996E-3</v>
      </c>
      <c r="P9" s="10">
        <f t="shared" ref="P9:P10" ca="1" si="35">365/S9*O9</f>
        <v>0.87599999999999989</v>
      </c>
      <c r="Q9" s="10">
        <f t="shared" ref="Q9:Q10" si="36">(D9-C9)/C9</f>
        <v>1.2058823529411764</v>
      </c>
      <c r="R9" s="10">
        <f t="shared" ref="R9:R10" si="37">(E9-C9)/C9</f>
        <v>-7.9963235294117682E-2</v>
      </c>
      <c r="S9" s="11">
        <f t="shared" ref="S9:S10" ca="1" si="38">J9-TODAY()</f>
        <v>2</v>
      </c>
      <c r="T9" s="7">
        <f>RTD("tos.rtd", , "DELTA", I9)</f>
        <v>-0.1</v>
      </c>
      <c r="U9" s="38">
        <v>0.24</v>
      </c>
      <c r="V9" s="38"/>
      <c r="W9" s="12">
        <f t="shared" ref="W9:W10" si="39">IF(V9&lt;=0,(U9-L9)*G9,(U9-V9)*G9)</f>
        <v>6.5000000000000002E-2</v>
      </c>
      <c r="X9" s="10">
        <f t="shared" ref="X9:X10" si="40">(W9/U9)/G9</f>
        <v>0.27083333333333337</v>
      </c>
      <c r="Y9" s="30">
        <f t="shared" ref="Y9:Y10" si="41">(K9*100-U9*100)*G9</f>
        <v>4976</v>
      </c>
      <c r="Z9" s="30">
        <f t="shared" ref="Z9:Z10" si="42">(Y9/100)/G9</f>
        <v>49.76</v>
      </c>
      <c r="AA9" s="10">
        <f t="shared" ref="AA9:AA10" si="43">(C9-Z9)/C9</f>
        <v>8.529411764705884E-2</v>
      </c>
      <c r="AB9" s="30"/>
      <c r="AC9" s="28"/>
      <c r="AD9" s="42"/>
      <c r="AE9" s="28"/>
    </row>
    <row r="10" spans="1:39" s="7" customFormat="1" x14ac:dyDescent="0.3">
      <c r="A10" s="38" t="s">
        <v>70</v>
      </c>
      <c r="B10" s="37">
        <v>44565</v>
      </c>
      <c r="C10" s="8">
        <f>RTD("tos.rtd",,C$1,UPPER(A10))</f>
        <v>92.69</v>
      </c>
      <c r="D10" s="8">
        <f>RTD("tos.rtd", , "52HIGH", A10)</f>
        <v>159.69999999999999</v>
      </c>
      <c r="E10" s="8">
        <f>RTD("tos.rtd", , "52LOW", A10)</f>
        <v>89.03</v>
      </c>
      <c r="F10" s="7" t="str">
        <f>RTD("tos.rtd", , "YIELD", A10)</f>
        <v>0.10%</v>
      </c>
      <c r="G10" s="38">
        <v>1</v>
      </c>
      <c r="H10" s="7" t="s">
        <v>26</v>
      </c>
      <c r="I10" s="7" t="str">
        <f t="shared" si="33"/>
        <v>.ARKK220107P85.22</v>
      </c>
      <c r="J10" s="37">
        <v>44568</v>
      </c>
      <c r="K10" s="38">
        <v>85.22</v>
      </c>
      <c r="L10" s="7">
        <f>RTD("tos.rtd", , "MARK",I10)</f>
        <v>0.2</v>
      </c>
      <c r="M10" s="7">
        <f>RTD("tos.rtd", , "BID",I10)</f>
        <v>0.18</v>
      </c>
      <c r="N10" s="7">
        <f>RTD("tos.rtd", , "ASK",I10)</f>
        <v>0.22</v>
      </c>
      <c r="O10" s="10">
        <f t="shared" si="34"/>
        <v>3.9896737854963624E-3</v>
      </c>
      <c r="P10" s="10">
        <f t="shared" ca="1" si="35"/>
        <v>0.72811546585308617</v>
      </c>
      <c r="Q10" s="10">
        <f t="shared" si="36"/>
        <v>0.72294745927284487</v>
      </c>
      <c r="R10" s="10">
        <f t="shared" si="37"/>
        <v>-3.9486460243823462E-2</v>
      </c>
      <c r="S10" s="11">
        <f t="shared" ca="1" si="38"/>
        <v>2</v>
      </c>
      <c r="T10" s="7">
        <f>RTD("tos.rtd", , "DELTA", I10)</f>
        <v>-0.08</v>
      </c>
      <c r="U10" s="38">
        <v>0.34</v>
      </c>
      <c r="V10" s="38"/>
      <c r="W10" s="12">
        <f t="shared" si="39"/>
        <v>0.14000000000000001</v>
      </c>
      <c r="X10" s="10">
        <f t="shared" si="40"/>
        <v>0.41176470588235298</v>
      </c>
      <c r="Y10" s="30">
        <f t="shared" si="41"/>
        <v>8488</v>
      </c>
      <c r="Z10" s="30">
        <f t="shared" si="42"/>
        <v>84.88</v>
      </c>
      <c r="AA10" s="10">
        <f t="shared" si="43"/>
        <v>8.4259359154169836E-2</v>
      </c>
      <c r="AB10" s="28"/>
      <c r="AC10" s="28"/>
      <c r="AD10" s="28"/>
      <c r="AE10" s="28"/>
    </row>
    <row r="11" spans="1:39" s="7" customFormat="1" x14ac:dyDescent="0.3">
      <c r="A11" s="28"/>
      <c r="B11" s="46"/>
      <c r="C11" s="47"/>
      <c r="D11" s="47"/>
      <c r="E11" s="47"/>
      <c r="F11" s="28"/>
      <c r="G11" s="28"/>
      <c r="H11" s="28"/>
      <c r="I11" s="28"/>
      <c r="J11" s="46"/>
      <c r="K11" s="28"/>
      <c r="L11" s="28"/>
      <c r="M11" s="28"/>
      <c r="N11" s="28"/>
      <c r="O11" s="48"/>
      <c r="P11" s="48"/>
      <c r="Q11" s="48"/>
      <c r="R11" s="48"/>
      <c r="S11" s="49"/>
      <c r="T11" s="28"/>
      <c r="U11" s="28"/>
      <c r="V11" s="28"/>
      <c r="W11" s="12"/>
      <c r="X11" s="10"/>
      <c r="Y11" s="30"/>
      <c r="Z11" s="30"/>
      <c r="AA11" s="10"/>
      <c r="AB11" s="28"/>
      <c r="AC11" s="28"/>
      <c r="AD11" s="28"/>
      <c r="AE11" s="28"/>
    </row>
    <row r="12" spans="1:39" s="7" customFormat="1" x14ac:dyDescent="0.3">
      <c r="A12" s="28"/>
      <c r="B12" s="46"/>
      <c r="C12" s="47"/>
      <c r="D12" s="47"/>
      <c r="E12" s="47"/>
      <c r="F12" s="28"/>
      <c r="G12" s="28"/>
      <c r="H12" s="28"/>
      <c r="I12" s="28"/>
      <c r="J12" s="46"/>
      <c r="K12" s="28"/>
      <c r="L12" s="28"/>
      <c r="M12" s="28"/>
      <c r="N12" s="28"/>
      <c r="O12" s="48"/>
      <c r="P12" s="48"/>
      <c r="Q12" s="48"/>
      <c r="R12" s="48"/>
      <c r="S12" s="49"/>
      <c r="T12" s="28"/>
      <c r="U12" s="28"/>
      <c r="V12" s="28"/>
      <c r="W12" s="12"/>
      <c r="X12" s="10"/>
      <c r="Y12" s="30"/>
      <c r="Z12" s="30"/>
      <c r="AA12" s="10"/>
      <c r="AB12" s="28"/>
      <c r="AC12" s="28"/>
      <c r="AD12" s="28"/>
      <c r="AE12" s="28"/>
    </row>
    <row r="13" spans="1:39" s="7" customFormat="1" x14ac:dyDescent="0.3">
      <c r="A13" s="28"/>
      <c r="B13" s="46"/>
      <c r="C13" s="47"/>
      <c r="D13" s="47"/>
      <c r="E13" s="47"/>
      <c r="F13" s="28"/>
      <c r="G13" s="28"/>
      <c r="H13" s="28"/>
      <c r="I13" s="28"/>
      <c r="J13" s="46"/>
      <c r="K13" s="28"/>
      <c r="L13" s="28"/>
      <c r="M13" s="28"/>
      <c r="N13" s="28"/>
      <c r="O13" s="48"/>
      <c r="P13" s="48"/>
      <c r="Q13" s="48"/>
      <c r="R13" s="48"/>
      <c r="S13" s="49"/>
      <c r="T13" s="28"/>
      <c r="U13" s="28"/>
      <c r="V13" s="28"/>
      <c r="W13" s="12"/>
      <c r="X13" s="10"/>
      <c r="Y13" s="30"/>
      <c r="Z13" s="30"/>
      <c r="AA13" s="10"/>
      <c r="AB13" s="28"/>
      <c r="AC13" s="28"/>
      <c r="AD13" s="28"/>
      <c r="AE13" s="28"/>
    </row>
    <row r="14" spans="1:39" s="7" customFormat="1" x14ac:dyDescent="0.3">
      <c r="A14" s="28"/>
      <c r="B14" s="46"/>
      <c r="C14" s="47"/>
      <c r="D14" s="47"/>
      <c r="E14" s="47"/>
      <c r="F14" s="28"/>
      <c r="G14" s="28"/>
      <c r="H14" s="28"/>
      <c r="I14" s="28"/>
      <c r="J14" s="46"/>
      <c r="K14" s="28"/>
      <c r="L14" s="28"/>
      <c r="M14" s="28"/>
      <c r="N14" s="28"/>
      <c r="O14" s="48"/>
      <c r="P14" s="48"/>
      <c r="Q14" s="48"/>
      <c r="R14" s="48"/>
      <c r="S14" s="49"/>
      <c r="T14" s="28"/>
      <c r="U14" s="28"/>
      <c r="V14" s="28"/>
      <c r="W14" s="12"/>
      <c r="X14" s="10"/>
      <c r="Y14" s="30"/>
      <c r="Z14" s="30"/>
      <c r="AA14" s="10"/>
      <c r="AB14" s="28"/>
      <c r="AC14" s="28"/>
      <c r="AD14" s="28"/>
      <c r="AE14" s="28"/>
    </row>
    <row r="15" spans="1:39" s="7" customFormat="1" x14ac:dyDescent="0.3">
      <c r="A15" s="28"/>
      <c r="B15" s="46"/>
      <c r="C15" s="47"/>
      <c r="D15" s="47"/>
      <c r="E15" s="47"/>
      <c r="F15" s="28"/>
      <c r="G15" s="28"/>
      <c r="H15" s="28"/>
      <c r="I15" s="28"/>
      <c r="J15" s="46"/>
      <c r="K15" s="28"/>
      <c r="L15" s="28"/>
      <c r="M15" s="28"/>
      <c r="N15" s="28"/>
      <c r="O15" s="48"/>
      <c r="P15" s="48"/>
      <c r="Q15" s="48"/>
      <c r="R15" s="48"/>
      <c r="S15" s="49"/>
      <c r="T15" s="28"/>
      <c r="U15" s="28"/>
      <c r="V15" s="28"/>
      <c r="W15" s="12"/>
      <c r="X15" s="10"/>
      <c r="Y15" s="30"/>
      <c r="Z15" s="30"/>
      <c r="AA15" s="10"/>
      <c r="AB15" s="28"/>
      <c r="AC15" s="28"/>
      <c r="AD15" s="28"/>
      <c r="AE15" s="28"/>
    </row>
    <row r="16" spans="1:39" s="7" customFormat="1" x14ac:dyDescent="0.3">
      <c r="C16" s="8"/>
      <c r="D16" s="8"/>
      <c r="E16" s="8"/>
      <c r="J16" s="9"/>
      <c r="O16" s="10"/>
      <c r="P16" s="10"/>
      <c r="Q16" s="10"/>
      <c r="R16" s="10"/>
      <c r="S16" s="11"/>
      <c r="W16" s="12"/>
      <c r="X16" s="10"/>
      <c r="Y16"/>
      <c r="Z16"/>
      <c r="AA16"/>
      <c r="AB16" s="28"/>
      <c r="AC16" s="28"/>
      <c r="AD16" s="28"/>
      <c r="AE16" s="28"/>
    </row>
    <row r="17" spans="3:31" s="7" customFormat="1" x14ac:dyDescent="0.3">
      <c r="C17" s="8"/>
      <c r="D17" s="8"/>
      <c r="E17" s="8"/>
      <c r="J17" s="9"/>
      <c r="O17" s="10"/>
      <c r="P17" s="10"/>
      <c r="Q17" s="10"/>
      <c r="R17" s="10"/>
      <c r="S17" s="11"/>
      <c r="W17" s="12"/>
      <c r="X17" s="10"/>
      <c r="Y17"/>
      <c r="Z17"/>
      <c r="AA17"/>
      <c r="AB17" s="28"/>
      <c r="AC17" s="28"/>
      <c r="AD17" s="28"/>
      <c r="AE17" s="28"/>
    </row>
    <row r="18" spans="3:31" s="7" customFormat="1" x14ac:dyDescent="0.3">
      <c r="C18" s="8"/>
      <c r="D18" s="8"/>
      <c r="E18" s="8"/>
      <c r="J18" s="9"/>
      <c r="O18" s="10"/>
      <c r="P18" s="10"/>
      <c r="Q18" s="10"/>
      <c r="R18" s="10"/>
      <c r="S18" s="11"/>
      <c r="W18" s="12"/>
      <c r="X18" s="10"/>
      <c r="Y18"/>
      <c r="Z18"/>
      <c r="AA18"/>
      <c r="AB18" s="28"/>
      <c r="AC18" s="28"/>
      <c r="AD18" s="28"/>
      <c r="AE18" s="28"/>
    </row>
    <row r="19" spans="3:31" s="7" customFormat="1" x14ac:dyDescent="0.3">
      <c r="C19" s="8"/>
      <c r="D19" s="8"/>
      <c r="E19" s="8"/>
      <c r="J19" s="9"/>
      <c r="O19" s="10"/>
      <c r="P19" s="10"/>
      <c r="Q19" s="10"/>
      <c r="R19" s="10"/>
      <c r="S19" s="11"/>
      <c r="W19" s="12"/>
      <c r="X19" s="10"/>
      <c r="Y19"/>
      <c r="Z19"/>
      <c r="AA19"/>
      <c r="AB19" s="28"/>
      <c r="AC19" s="28"/>
      <c r="AD19" s="28"/>
      <c r="AE19" s="28"/>
    </row>
    <row r="20" spans="3:31" s="7" customFormat="1" x14ac:dyDescent="0.3">
      <c r="C20" s="8"/>
      <c r="D20" s="8"/>
      <c r="E20" s="8"/>
      <c r="J20" s="9"/>
      <c r="O20" s="10"/>
      <c r="P20" s="10"/>
      <c r="Q20" s="10"/>
      <c r="R20" s="10"/>
      <c r="S20" s="11"/>
      <c r="W20" s="12"/>
      <c r="X20" s="10"/>
      <c r="Y20"/>
      <c r="Z20"/>
      <c r="AA20"/>
      <c r="AB20" s="28"/>
      <c r="AC20" s="28"/>
      <c r="AD20" s="28"/>
      <c r="AE20" s="28"/>
    </row>
    <row r="21" spans="3:31" s="7" customFormat="1" x14ac:dyDescent="0.3">
      <c r="C21" s="8"/>
      <c r="D21" s="8"/>
      <c r="E21" s="8"/>
      <c r="J21" s="9"/>
      <c r="O21" s="10"/>
      <c r="P21" s="10"/>
      <c r="Q21" s="10"/>
      <c r="R21" s="10"/>
      <c r="S21" s="11"/>
      <c r="W21" s="12"/>
      <c r="X21" s="10"/>
      <c r="Y21"/>
      <c r="Z21"/>
      <c r="AA21"/>
      <c r="AB21" s="28"/>
      <c r="AC21" s="28"/>
      <c r="AD21" s="28"/>
      <c r="AE21" s="28"/>
    </row>
    <row r="22" spans="3:31" s="7" customFormat="1" x14ac:dyDescent="0.3">
      <c r="C22" s="8"/>
      <c r="D22" s="8"/>
      <c r="E22" s="8"/>
      <c r="J22" s="9"/>
      <c r="O22" s="10"/>
      <c r="P22" s="10"/>
      <c r="Q22" s="10"/>
      <c r="R22" s="10"/>
      <c r="S22" s="11"/>
      <c r="W22" s="12"/>
      <c r="X22" s="10"/>
      <c r="Y22"/>
      <c r="Z22"/>
      <c r="AA22"/>
      <c r="AB22" s="28"/>
      <c r="AC22" s="28"/>
      <c r="AD22" s="28"/>
      <c r="AE22" s="28"/>
    </row>
    <row r="23" spans="3:31" s="7" customFormat="1" x14ac:dyDescent="0.3">
      <c r="C23" s="8"/>
      <c r="D23" s="8"/>
      <c r="E23" s="8"/>
      <c r="J23" s="9"/>
      <c r="O23" s="10"/>
      <c r="P23" s="10"/>
      <c r="Q23" s="10"/>
      <c r="R23" s="10"/>
      <c r="S23" s="11"/>
      <c r="W23" s="12"/>
      <c r="X23" s="10"/>
      <c r="Y23"/>
      <c r="Z23"/>
      <c r="AA23"/>
      <c r="AB23" s="28"/>
      <c r="AC23" s="28"/>
      <c r="AD23" s="28"/>
      <c r="AE23" s="28"/>
    </row>
    <row r="24" spans="3:31" s="7" customFormat="1" x14ac:dyDescent="0.3">
      <c r="C24" s="8"/>
      <c r="D24" s="8"/>
      <c r="E24" s="8"/>
      <c r="J24" s="9"/>
      <c r="O24" s="10"/>
      <c r="P24" s="10"/>
      <c r="Q24" s="10"/>
      <c r="R24" s="10"/>
      <c r="S24" s="11"/>
      <c r="W24" s="12"/>
      <c r="X24" s="10"/>
      <c r="Y24"/>
      <c r="Z24"/>
      <c r="AA24"/>
      <c r="AB24" s="28"/>
      <c r="AC24" s="28"/>
      <c r="AD24" s="28"/>
      <c r="AE24" s="28"/>
    </row>
    <row r="25" spans="3:31" s="7" customFormat="1" x14ac:dyDescent="0.3">
      <c r="C25" s="8"/>
      <c r="D25" s="8"/>
      <c r="E25" s="8"/>
      <c r="J25" s="9"/>
      <c r="O25" s="10"/>
      <c r="P25" s="10"/>
      <c r="Q25" s="10"/>
      <c r="R25" s="10"/>
      <c r="S25" s="11"/>
      <c r="W25" s="12"/>
      <c r="X25" s="10"/>
      <c r="Y25"/>
      <c r="Z25"/>
      <c r="AA25"/>
      <c r="AB25" s="28"/>
      <c r="AC25" s="28"/>
      <c r="AD25" s="28"/>
      <c r="AE25" s="28"/>
    </row>
    <row r="26" spans="3:31" s="7" customFormat="1" x14ac:dyDescent="0.3">
      <c r="C26" s="8"/>
      <c r="D26" s="8"/>
      <c r="E26" s="8"/>
      <c r="J26" s="9"/>
      <c r="O26" s="10"/>
      <c r="P26" s="10"/>
      <c r="Q26" s="10"/>
      <c r="R26" s="10"/>
      <c r="S26" s="11"/>
      <c r="W26" s="12"/>
      <c r="X26" s="10"/>
      <c r="Y26"/>
      <c r="Z26"/>
      <c r="AA26"/>
      <c r="AB26" s="28"/>
      <c r="AC26" s="28"/>
      <c r="AD26" s="28"/>
      <c r="AE26" s="28"/>
    </row>
    <row r="27" spans="3:31" s="7" customFormat="1" x14ac:dyDescent="0.3">
      <c r="C27" s="8"/>
      <c r="D27" s="8"/>
      <c r="E27" s="8"/>
      <c r="J27" s="9"/>
      <c r="O27" s="10"/>
      <c r="P27" s="10"/>
      <c r="Q27" s="10"/>
      <c r="R27" s="10"/>
      <c r="S27" s="11"/>
      <c r="W27" s="12"/>
      <c r="X27" s="10"/>
      <c r="Y27"/>
      <c r="Z27"/>
      <c r="AA27"/>
      <c r="AB27" s="28"/>
      <c r="AC27" s="28"/>
      <c r="AD27" s="28"/>
      <c r="AE27" s="28"/>
    </row>
    <row r="28" spans="3:31" s="7" customFormat="1" x14ac:dyDescent="0.3">
      <c r="C28" s="8"/>
      <c r="D28" s="8"/>
      <c r="E28" s="8"/>
      <c r="J28" s="9"/>
      <c r="O28" s="10"/>
      <c r="P28" s="10"/>
      <c r="Q28" s="10"/>
      <c r="R28" s="10"/>
      <c r="S28" s="11"/>
      <c r="W28" s="12"/>
      <c r="X28" s="10"/>
      <c r="Y28"/>
      <c r="Z28"/>
      <c r="AA28"/>
      <c r="AB28" s="28"/>
      <c r="AC28" s="28"/>
      <c r="AD28" s="28"/>
      <c r="AE28" s="28"/>
    </row>
    <row r="29" spans="3:31" s="7" customFormat="1" x14ac:dyDescent="0.3">
      <c r="C29" s="8"/>
      <c r="D29" s="8"/>
      <c r="E29" s="8"/>
      <c r="J29" s="9"/>
      <c r="O29" s="10"/>
      <c r="P29" s="10"/>
      <c r="Q29" s="10"/>
      <c r="R29" s="10"/>
      <c r="S29" s="11"/>
      <c r="W29" s="12"/>
      <c r="X29" s="10"/>
      <c r="Y29"/>
      <c r="Z29"/>
      <c r="AA29"/>
      <c r="AB29" s="28"/>
      <c r="AC29" s="28"/>
      <c r="AD29" s="28"/>
      <c r="AE29" s="28"/>
    </row>
    <row r="30" spans="3:31" s="7" customFormat="1" x14ac:dyDescent="0.3">
      <c r="C30" s="8"/>
      <c r="D30" s="8"/>
      <c r="E30" s="8"/>
      <c r="J30" s="9"/>
      <c r="O30" s="10"/>
      <c r="P30" s="10"/>
      <c r="Q30" s="10"/>
      <c r="R30" s="10"/>
      <c r="S30" s="11"/>
      <c r="W30" s="12"/>
      <c r="X30" s="10"/>
      <c r="Y30"/>
      <c r="Z30"/>
      <c r="AA30"/>
      <c r="AB30" s="28"/>
      <c r="AC30" s="28"/>
      <c r="AD30" s="28"/>
      <c r="AE30" s="28"/>
    </row>
    <row r="31" spans="3:31" s="7" customFormat="1" x14ac:dyDescent="0.3">
      <c r="C31" s="8"/>
      <c r="D31" s="8"/>
      <c r="E31" s="8"/>
      <c r="J31" s="9"/>
      <c r="O31" s="10"/>
      <c r="P31" s="10"/>
      <c r="Q31" s="10"/>
      <c r="R31" s="10"/>
      <c r="S31" s="11"/>
      <c r="W31" s="12"/>
      <c r="X31" s="10"/>
      <c r="Y31"/>
      <c r="Z31"/>
      <c r="AA31"/>
      <c r="AB31" s="28"/>
      <c r="AC31" s="28"/>
      <c r="AD31" s="28"/>
      <c r="AE31" s="28"/>
    </row>
    <row r="32" spans="3:31" s="7" customFormat="1" x14ac:dyDescent="0.3">
      <c r="C32" s="8"/>
      <c r="D32" s="8"/>
      <c r="E32" s="8"/>
      <c r="J32" s="9"/>
      <c r="O32" s="10"/>
      <c r="P32" s="10"/>
      <c r="Q32" s="10"/>
      <c r="R32" s="10"/>
      <c r="S32" s="11"/>
      <c r="W32" s="12"/>
      <c r="X32" s="10"/>
      <c r="Y32"/>
      <c r="Z32"/>
      <c r="AA32"/>
      <c r="AB32" s="28"/>
      <c r="AC32" s="28"/>
      <c r="AD32" s="28"/>
      <c r="AE32" s="28"/>
    </row>
    <row r="33" spans="3:31" s="7" customFormat="1" x14ac:dyDescent="0.3">
      <c r="C33" s="8"/>
      <c r="D33" s="8"/>
      <c r="E33" s="8"/>
      <c r="J33" s="9"/>
      <c r="O33" s="10"/>
      <c r="P33" s="10"/>
      <c r="Q33" s="10"/>
      <c r="R33" s="10"/>
      <c r="S33" s="11"/>
      <c r="W33" s="12"/>
      <c r="X33" s="10"/>
      <c r="Y33"/>
      <c r="Z33"/>
      <c r="AA33"/>
      <c r="AB33" s="28"/>
      <c r="AC33" s="28"/>
      <c r="AD33" s="28"/>
      <c r="AE33" s="28"/>
    </row>
    <row r="34" spans="3:31" s="7" customFormat="1" x14ac:dyDescent="0.3">
      <c r="C34" s="8"/>
      <c r="D34" s="8"/>
      <c r="E34" s="8"/>
      <c r="J34" s="9"/>
      <c r="O34" s="10"/>
      <c r="P34" s="10"/>
      <c r="Q34" s="10"/>
      <c r="R34" s="10"/>
      <c r="S34" s="11"/>
      <c r="W34" s="12"/>
      <c r="X34" s="10"/>
      <c r="Y34"/>
      <c r="Z34"/>
      <c r="AA34"/>
      <c r="AB34" s="28"/>
      <c r="AC34" s="28"/>
      <c r="AD34" s="28"/>
      <c r="AE34" s="28"/>
    </row>
    <row r="35" spans="3:31" s="7" customFormat="1" x14ac:dyDescent="0.3">
      <c r="C35" s="8"/>
      <c r="D35" s="8"/>
      <c r="E35" s="8"/>
      <c r="J35" s="9"/>
      <c r="O35" s="10"/>
      <c r="P35" s="10"/>
      <c r="Q35" s="10"/>
      <c r="R35" s="10"/>
      <c r="S35" s="11"/>
      <c r="W35" s="12"/>
      <c r="X35" s="10"/>
      <c r="Y35"/>
      <c r="Z35"/>
      <c r="AA35"/>
      <c r="AB35" s="28"/>
      <c r="AC35" s="28"/>
      <c r="AD35" s="28"/>
      <c r="AE35" s="28"/>
    </row>
    <row r="36" spans="3:31" s="7" customFormat="1" x14ac:dyDescent="0.3">
      <c r="C36" s="8"/>
      <c r="D36" s="8"/>
      <c r="E36" s="8"/>
      <c r="J36" s="9"/>
      <c r="O36" s="10"/>
      <c r="P36" s="10"/>
      <c r="Q36" s="10"/>
      <c r="R36" s="10"/>
      <c r="S36" s="11"/>
      <c r="W36" s="12"/>
      <c r="X36" s="10"/>
      <c r="Y36"/>
      <c r="Z36"/>
      <c r="AA36"/>
      <c r="AB36" s="28"/>
      <c r="AC36" s="28"/>
      <c r="AD36" s="28"/>
      <c r="AE36" s="28"/>
    </row>
    <row r="37" spans="3:31" s="7" customFormat="1" x14ac:dyDescent="0.3">
      <c r="C37" s="8"/>
      <c r="D37" s="8"/>
      <c r="E37" s="8"/>
      <c r="J37" s="9"/>
      <c r="O37" s="10"/>
      <c r="P37" s="10"/>
      <c r="Q37" s="10"/>
      <c r="R37" s="10"/>
      <c r="S37" s="11"/>
      <c r="W37" s="12"/>
      <c r="X37" s="10"/>
      <c r="Y37"/>
      <c r="Z37"/>
      <c r="AA37"/>
      <c r="AB37" s="28"/>
      <c r="AC37" s="28"/>
      <c r="AD37" s="28"/>
      <c r="AE37" s="28"/>
    </row>
    <row r="38" spans="3:31" s="7" customFormat="1" x14ac:dyDescent="0.3">
      <c r="C38" s="8"/>
      <c r="D38" s="8"/>
      <c r="E38" s="8"/>
      <c r="J38" s="9"/>
      <c r="O38" s="10"/>
      <c r="P38" s="10"/>
      <c r="Q38" s="10"/>
      <c r="R38" s="10"/>
      <c r="S38" s="11"/>
      <c r="W38" s="12"/>
      <c r="X38" s="10"/>
      <c r="Y38"/>
      <c r="Z38"/>
      <c r="AA38"/>
      <c r="AB38" s="28"/>
      <c r="AC38" s="28"/>
      <c r="AD38" s="28"/>
      <c r="AE38" s="28"/>
    </row>
    <row r="39" spans="3:31" s="7" customFormat="1" x14ac:dyDescent="0.3">
      <c r="C39" s="8"/>
      <c r="D39" s="8"/>
      <c r="E39" s="8"/>
      <c r="J39" s="9"/>
      <c r="O39" s="10"/>
      <c r="P39" s="10"/>
      <c r="Q39" s="10"/>
      <c r="R39" s="10"/>
      <c r="S39" s="11"/>
      <c r="W39" s="12"/>
      <c r="X39" s="10"/>
      <c r="Y39"/>
      <c r="Z39"/>
      <c r="AA39"/>
      <c r="AB39" s="28"/>
      <c r="AC39" s="28"/>
      <c r="AD39" s="28"/>
      <c r="AE39" s="28"/>
    </row>
    <row r="40" spans="3:31" s="7" customFormat="1" x14ac:dyDescent="0.3">
      <c r="C40" s="8"/>
      <c r="D40" s="8"/>
      <c r="E40" s="8"/>
      <c r="J40" s="9"/>
      <c r="O40" s="10"/>
      <c r="P40" s="10"/>
      <c r="Q40" s="10"/>
      <c r="R40" s="10"/>
      <c r="S40" s="11"/>
      <c r="W40" s="12"/>
      <c r="X40" s="10"/>
      <c r="Y40"/>
      <c r="Z40"/>
      <c r="AA40"/>
      <c r="AB40" s="28"/>
      <c r="AC40" s="28"/>
      <c r="AD40" s="28"/>
      <c r="AE40" s="28"/>
    </row>
    <row r="41" spans="3:31" s="7" customFormat="1" x14ac:dyDescent="0.3">
      <c r="C41" s="8"/>
      <c r="D41" s="8"/>
      <c r="E41" s="8"/>
      <c r="J41" s="9"/>
      <c r="O41" s="10"/>
      <c r="P41" s="10"/>
      <c r="Q41" s="10"/>
      <c r="R41" s="10"/>
      <c r="S41" s="11"/>
      <c r="W41" s="12"/>
      <c r="X41" s="10"/>
      <c r="Y41"/>
      <c r="Z41"/>
      <c r="AA41"/>
      <c r="AB41" s="28"/>
      <c r="AC41" s="28"/>
      <c r="AD41" s="28"/>
      <c r="AE41" s="28"/>
    </row>
    <row r="42" spans="3:31" s="7" customFormat="1" x14ac:dyDescent="0.3">
      <c r="C42" s="8"/>
      <c r="D42" s="8"/>
      <c r="E42" s="8"/>
      <c r="J42" s="9"/>
      <c r="O42" s="10"/>
      <c r="P42" s="10"/>
      <c r="Q42" s="10"/>
      <c r="R42" s="10"/>
      <c r="S42" s="11"/>
      <c r="W42" s="12"/>
      <c r="X42" s="10"/>
      <c r="Y42"/>
      <c r="Z42"/>
      <c r="AA42"/>
      <c r="AB42" s="28"/>
      <c r="AC42" s="28"/>
      <c r="AD42" s="28"/>
      <c r="AE42" s="28"/>
    </row>
    <row r="43" spans="3:31" s="7" customFormat="1" x14ac:dyDescent="0.3">
      <c r="C43" s="8"/>
      <c r="D43" s="8"/>
      <c r="E43" s="8"/>
      <c r="J43" s="9"/>
      <c r="O43" s="10"/>
      <c r="P43" s="10"/>
      <c r="Q43" s="10"/>
      <c r="R43" s="10"/>
      <c r="S43" s="11"/>
      <c r="W43" s="12"/>
      <c r="X43" s="10"/>
      <c r="Y43"/>
      <c r="Z43"/>
      <c r="AA43"/>
      <c r="AB43" s="28"/>
      <c r="AC43" s="28"/>
      <c r="AD43" s="28"/>
      <c r="AE43" s="28"/>
    </row>
    <row r="44" spans="3:31" s="7" customFormat="1" x14ac:dyDescent="0.3">
      <c r="C44" s="8"/>
      <c r="D44" s="8"/>
      <c r="E44" s="8"/>
      <c r="J44" s="9"/>
      <c r="O44" s="10"/>
      <c r="P44" s="10"/>
      <c r="Q44" s="10"/>
      <c r="R44" s="10"/>
      <c r="S44" s="11"/>
      <c r="W44" s="12"/>
      <c r="X44" s="10"/>
      <c r="Y44"/>
      <c r="Z44"/>
      <c r="AA44"/>
      <c r="AB44" s="28"/>
      <c r="AC44" s="28"/>
      <c r="AD44" s="28"/>
      <c r="AE44" s="28"/>
    </row>
    <row r="45" spans="3:31" s="7" customFormat="1" x14ac:dyDescent="0.3">
      <c r="C45" s="8"/>
      <c r="D45" s="8"/>
      <c r="E45" s="8"/>
      <c r="J45" s="9"/>
      <c r="O45" s="10"/>
      <c r="P45" s="10"/>
      <c r="Q45" s="10"/>
      <c r="R45" s="10"/>
      <c r="S45" s="11"/>
      <c r="W45" s="12"/>
      <c r="X45" s="10"/>
      <c r="Y45"/>
      <c r="Z45"/>
      <c r="AA45"/>
      <c r="AB45" s="28"/>
      <c r="AC45" s="28"/>
      <c r="AD45" s="28"/>
      <c r="AE45" s="28"/>
    </row>
    <row r="46" spans="3:31" s="7" customFormat="1" x14ac:dyDescent="0.3">
      <c r="C46" s="8"/>
      <c r="D46" s="8"/>
      <c r="E46" s="8"/>
      <c r="J46" s="9"/>
      <c r="O46" s="10"/>
      <c r="P46" s="10"/>
      <c r="Q46" s="10"/>
      <c r="R46" s="10"/>
      <c r="S46" s="11"/>
      <c r="W46" s="12"/>
      <c r="X46" s="10"/>
      <c r="Y46"/>
      <c r="Z46"/>
      <c r="AA46"/>
      <c r="AB46" s="28"/>
      <c r="AC46" s="28"/>
      <c r="AD46" s="28"/>
      <c r="AE46" s="28"/>
    </row>
    <row r="47" spans="3:31" s="7" customFormat="1" x14ac:dyDescent="0.3">
      <c r="C47" s="8"/>
      <c r="D47" s="8"/>
      <c r="E47" s="8"/>
      <c r="J47" s="9"/>
      <c r="O47" s="10"/>
      <c r="P47" s="10"/>
      <c r="Q47" s="10"/>
      <c r="R47" s="10"/>
      <c r="S47" s="11"/>
      <c r="W47" s="12"/>
      <c r="X47" s="10"/>
      <c r="Y47"/>
      <c r="Z47"/>
      <c r="AA47"/>
      <c r="AB47" s="28"/>
      <c r="AC47" s="28"/>
      <c r="AD47" s="28"/>
      <c r="AE47" s="28"/>
    </row>
    <row r="48" spans="3:31" s="7" customFormat="1" x14ac:dyDescent="0.3">
      <c r="C48" s="8"/>
      <c r="D48" s="8"/>
      <c r="E48" s="8"/>
      <c r="J48" s="9"/>
      <c r="O48" s="10"/>
      <c r="P48" s="10"/>
      <c r="Q48" s="10"/>
      <c r="R48" s="10"/>
      <c r="S48" s="11"/>
      <c r="W48" s="12"/>
      <c r="X48" s="10"/>
      <c r="Y48"/>
      <c r="Z48"/>
      <c r="AA48"/>
      <c r="AB48" s="28"/>
      <c r="AC48" s="28"/>
      <c r="AD48" s="28"/>
      <c r="AE48" s="28"/>
    </row>
    <row r="49" spans="3:31" s="7" customFormat="1" x14ac:dyDescent="0.3">
      <c r="C49" s="8"/>
      <c r="D49" s="8"/>
      <c r="E49" s="8"/>
      <c r="J49" s="9"/>
      <c r="O49" s="10"/>
      <c r="P49" s="10"/>
      <c r="Q49" s="10"/>
      <c r="R49" s="10"/>
      <c r="S49" s="11"/>
      <c r="W49" s="12"/>
      <c r="X49" s="10"/>
      <c r="Y49"/>
      <c r="Z49"/>
      <c r="AA49"/>
      <c r="AB49" s="28"/>
      <c r="AC49" s="28"/>
      <c r="AD49" s="28"/>
      <c r="AE49" s="28"/>
    </row>
    <row r="50" spans="3:31" s="7" customFormat="1" x14ac:dyDescent="0.3">
      <c r="C50" s="8"/>
      <c r="D50" s="8"/>
      <c r="E50" s="8"/>
      <c r="J50" s="9"/>
      <c r="O50" s="10"/>
      <c r="P50" s="10"/>
      <c r="Q50" s="10"/>
      <c r="R50" s="10"/>
      <c r="S50" s="11"/>
      <c r="W50" s="12"/>
      <c r="X50" s="10"/>
      <c r="Y50"/>
      <c r="Z50"/>
      <c r="AA50"/>
      <c r="AB50" s="28"/>
      <c r="AC50" s="28"/>
      <c r="AD50" s="28"/>
      <c r="AE50" s="28"/>
    </row>
  </sheetData>
  <conditionalFormatting sqref="R2:R50">
    <cfRule type="cellIs" dxfId="6" priority="15" operator="greaterThanOrEqual">
      <formula>0.12</formula>
    </cfRule>
  </conditionalFormatting>
  <conditionalFormatting sqref="X1:X1048576">
    <cfRule type="cellIs" dxfId="5" priority="14" operator="lessThan">
      <formula>0</formula>
    </cfRule>
  </conditionalFormatting>
  <conditionalFormatting sqref="AA2:AA15">
    <cfRule type="cellIs" dxfId="4" priority="7" operator="lessThan">
      <formula>-2%</formula>
    </cfRule>
  </conditionalFormatting>
  <conditionalFormatting sqref="AM2">
    <cfRule type="cellIs" dxfId="3" priority="5" operator="greaterThan">
      <formula>1</formula>
    </cfRule>
    <cfRule type="cellIs" dxfId="2" priority="6" operator="lessThan">
      <formula>1</formula>
    </cfRule>
  </conditionalFormatting>
  <conditionalFormatting sqref="A2:A10">
    <cfRule type="expression" dxfId="1" priority="2">
      <formula>$W2:$W200&lt;0</formula>
    </cfRule>
  </conditionalFormatting>
  <conditionalFormatting sqref="AI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0661-E7A6-456A-AD65-A86659AD826D}">
  <dimension ref="A3:A34"/>
  <sheetViews>
    <sheetView tabSelected="1" workbookViewId="0">
      <selection activeCell="A33" sqref="A33"/>
    </sheetView>
  </sheetViews>
  <sheetFormatPr defaultRowHeight="14.4" x14ac:dyDescent="0.3"/>
  <cols>
    <col min="1" max="1" width="102.109375" bestFit="1" customWidth="1"/>
  </cols>
  <sheetData>
    <row r="3" spans="1:1" x14ac:dyDescent="0.3">
      <c r="A3" s="45" t="s">
        <v>58</v>
      </c>
    </row>
    <row r="4" spans="1:1" x14ac:dyDescent="0.3">
      <c r="A4" s="50" t="s">
        <v>59</v>
      </c>
    </row>
    <row r="5" spans="1:1" x14ac:dyDescent="0.3">
      <c r="A5" s="53" t="s">
        <v>76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62</v>
      </c>
    </row>
    <row r="9" spans="1:1" x14ac:dyDescent="0.3">
      <c r="A9" t="s">
        <v>75</v>
      </c>
    </row>
    <row r="11" spans="1:1" x14ac:dyDescent="0.3">
      <c r="A11" t="s">
        <v>49</v>
      </c>
    </row>
    <row r="12" spans="1:1" x14ac:dyDescent="0.3">
      <c r="A12" t="s">
        <v>48</v>
      </c>
    </row>
    <row r="13" spans="1:1" x14ac:dyDescent="0.3">
      <c r="A13" t="s">
        <v>68</v>
      </c>
    </row>
    <row r="14" spans="1:1" x14ac:dyDescent="0.3">
      <c r="A14" t="s">
        <v>67</v>
      </c>
    </row>
    <row r="15" spans="1:1" x14ac:dyDescent="0.3">
      <c r="A15" t="s">
        <v>73</v>
      </c>
    </row>
    <row r="16" spans="1:1" x14ac:dyDescent="0.3">
      <c r="A16" s="24" t="s">
        <v>65</v>
      </c>
    </row>
    <row r="17" spans="1:1" x14ac:dyDescent="0.3">
      <c r="A17" s="51" t="s">
        <v>66</v>
      </c>
    </row>
    <row r="18" spans="1:1" x14ac:dyDescent="0.3">
      <c r="A18" s="51"/>
    </row>
    <row r="19" spans="1:1" x14ac:dyDescent="0.3">
      <c r="A19" s="24"/>
    </row>
    <row r="20" spans="1:1" x14ac:dyDescent="0.3">
      <c r="A20" t="s">
        <v>63</v>
      </c>
    </row>
    <row r="21" spans="1:1" x14ac:dyDescent="0.3">
      <c r="A21" s="51" t="s">
        <v>64</v>
      </c>
    </row>
    <row r="23" spans="1:1" x14ac:dyDescent="0.3">
      <c r="A23" t="s">
        <v>30</v>
      </c>
    </row>
    <row r="24" spans="1:1" x14ac:dyDescent="0.3">
      <c r="A24" t="s">
        <v>74</v>
      </c>
    </row>
    <row r="25" spans="1:1" x14ac:dyDescent="0.3">
      <c r="A25" t="s">
        <v>28</v>
      </c>
    </row>
    <row r="26" spans="1:1" x14ac:dyDescent="0.3">
      <c r="A26" t="s">
        <v>29</v>
      </c>
    </row>
    <row r="29" spans="1:1" x14ac:dyDescent="0.3">
      <c r="A29" t="s">
        <v>40</v>
      </c>
    </row>
    <row r="30" spans="1:1" x14ac:dyDescent="0.3">
      <c r="A30" t="s">
        <v>39</v>
      </c>
    </row>
    <row r="31" spans="1:1" x14ac:dyDescent="0.3">
      <c r="A31" t="s">
        <v>41</v>
      </c>
    </row>
    <row r="32" spans="1:1" x14ac:dyDescent="0.3">
      <c r="A32" t="s">
        <v>43</v>
      </c>
    </row>
    <row r="33" spans="1:1" x14ac:dyDescent="0.3">
      <c r="A33" t="s">
        <v>78</v>
      </c>
    </row>
    <row r="34" spans="1:1" x14ac:dyDescent="0.3">
      <c r="A34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SNAP</vt:lpstr>
      <vt:lpstr>SPY</vt:lpstr>
      <vt:lpstr>JAN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Shoemaker</dc:creator>
  <cp:lastModifiedBy>Options-Guru</cp:lastModifiedBy>
  <dcterms:created xsi:type="dcterms:W3CDTF">2021-12-30T02:51:30Z</dcterms:created>
  <dcterms:modified xsi:type="dcterms:W3CDTF">2022-01-05T05:15:22Z</dcterms:modified>
</cp:coreProperties>
</file>